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aytructuyenketoanchiphi\baigiang17.04.2020\"/>
    </mc:Choice>
  </mc:AlternateContent>
  <bookViews>
    <workbookView xWindow="0" yWindow="0" windowWidth="23016" windowHeight="8172" activeTab="2"/>
  </bookViews>
  <sheets>
    <sheet name="ontap1" sheetId="6" r:id="rId1"/>
    <sheet name="vd_slice" sheetId="8" r:id="rId2"/>
    <sheet name="bai7-tinhgiathanh" sheetId="9" r:id="rId3"/>
  </sheets>
  <calcPr calcId="152511"/>
</workbook>
</file>

<file path=xl/calcChain.xml><?xml version="1.0" encoding="utf-8"?>
<calcChain xmlns="http://schemas.openxmlformats.org/spreadsheetml/2006/main">
  <c r="C75" i="9" l="1"/>
  <c r="C74" i="9"/>
  <c r="C73" i="9"/>
  <c r="C71" i="9"/>
  <c r="C70" i="9"/>
  <c r="C69" i="9"/>
  <c r="E67" i="9"/>
  <c r="E66" i="9"/>
  <c r="A64" i="9"/>
  <c r="D61" i="9"/>
  <c r="D60" i="9"/>
  <c r="C20" i="9"/>
  <c r="C19" i="9"/>
  <c r="C18" i="9"/>
  <c r="C17" i="9"/>
  <c r="L39" i="8"/>
  <c r="L40" i="8"/>
  <c r="L38" i="8"/>
  <c r="K39" i="8"/>
  <c r="K40" i="8"/>
  <c r="K38" i="8"/>
  <c r="K41" i="8" s="1"/>
  <c r="J39" i="8"/>
  <c r="J40" i="8"/>
  <c r="J38" i="8"/>
  <c r="I39" i="8"/>
  <c r="I40" i="8"/>
  <c r="I38" i="8"/>
  <c r="H39" i="8"/>
  <c r="H40" i="8"/>
  <c r="H38" i="8"/>
  <c r="H41" i="8" s="1"/>
  <c r="G39" i="8"/>
  <c r="G40" i="8"/>
  <c r="G38" i="8"/>
  <c r="F39" i="8"/>
  <c r="F40" i="8"/>
  <c r="F41" i="8"/>
  <c r="F38" i="8"/>
  <c r="E41" i="8"/>
  <c r="E39" i="8"/>
  <c r="E40" i="8"/>
  <c r="E38" i="8"/>
  <c r="L41" i="8"/>
  <c r="J41" i="8"/>
  <c r="C41" i="8"/>
  <c r="D41" i="8"/>
  <c r="G41" i="8"/>
  <c r="I41" i="8"/>
  <c r="B41" i="8"/>
  <c r="D40" i="8"/>
  <c r="D39" i="8"/>
  <c r="D38" i="8"/>
  <c r="C40" i="8"/>
  <c r="C39" i="8"/>
  <c r="C38" i="8"/>
  <c r="B40" i="8"/>
  <c r="B39" i="8"/>
  <c r="B38" i="8"/>
  <c r="E21" i="8"/>
  <c r="D34" i="8"/>
  <c r="C33" i="8"/>
  <c r="C32" i="8"/>
  <c r="C31" i="8"/>
  <c r="C29" i="8"/>
  <c r="C28" i="8"/>
  <c r="C27" i="8"/>
  <c r="C25" i="8"/>
  <c r="C24" i="8"/>
  <c r="C23" i="8"/>
  <c r="E20" i="8"/>
  <c r="D18" i="8"/>
  <c r="B17" i="8"/>
  <c r="B16" i="8"/>
  <c r="B15" i="8"/>
  <c r="F97" i="6"/>
  <c r="F98" i="6"/>
  <c r="F99" i="6"/>
  <c r="F96" i="6"/>
  <c r="C99" i="6"/>
  <c r="D99" i="6"/>
  <c r="E99" i="6"/>
  <c r="B99" i="6"/>
  <c r="E97" i="6"/>
  <c r="E98" i="6"/>
  <c r="E96" i="6"/>
  <c r="C98" i="6"/>
  <c r="C97" i="6"/>
  <c r="C96" i="6"/>
  <c r="F89" i="6"/>
  <c r="F90" i="6"/>
  <c r="F91" i="6"/>
  <c r="F88" i="6"/>
  <c r="D91" i="6"/>
  <c r="E91" i="6"/>
  <c r="C91" i="6"/>
  <c r="B91" i="6"/>
  <c r="E89" i="6"/>
  <c r="E90" i="6"/>
  <c r="E88" i="6"/>
  <c r="C90" i="6"/>
  <c r="C89" i="6"/>
  <c r="C88" i="6"/>
  <c r="B81" i="6"/>
  <c r="B63" i="6"/>
  <c r="B62" i="6"/>
  <c r="D69" i="6"/>
  <c r="D68" i="6"/>
  <c r="D67" i="6"/>
  <c r="C59" i="6"/>
  <c r="C58" i="6"/>
  <c r="C57" i="6"/>
  <c r="C56" i="6"/>
  <c r="C55" i="6"/>
  <c r="B10" i="6"/>
  <c r="D50" i="9" l="1"/>
  <c r="C53" i="9" l="1"/>
  <c r="C50" i="9"/>
  <c r="D59" i="9"/>
  <c r="C32" i="9"/>
  <c r="C25" i="9"/>
  <c r="D46" i="9" l="1"/>
  <c r="C41" i="9"/>
  <c r="D42" i="9" s="1"/>
  <c r="D38" i="9"/>
  <c r="D33" i="9"/>
  <c r="C29" i="9"/>
  <c r="C24" i="9"/>
  <c r="C26" i="9" s="1"/>
  <c r="D27" i="9" s="1"/>
  <c r="D15" i="9"/>
  <c r="D9" i="9"/>
  <c r="C4" i="9"/>
  <c r="D51" i="9" s="1"/>
  <c r="D2" i="9"/>
  <c r="C21" i="9" l="1"/>
  <c r="D22" i="9" s="1"/>
  <c r="E22" i="9"/>
  <c r="C49" i="9"/>
  <c r="D49" i="9"/>
  <c r="D30" i="9"/>
  <c r="D5" i="9"/>
  <c r="C51" i="9"/>
  <c r="C7" i="6"/>
  <c r="D8" i="6" s="1"/>
  <c r="C79" i="9" l="1"/>
  <c r="C78" i="9"/>
  <c r="C77" i="9"/>
  <c r="D88" i="6"/>
  <c r="D80" i="9" l="1"/>
  <c r="E80" i="9" s="1"/>
  <c r="C51" i="6"/>
  <c r="D52" i="6" s="1"/>
  <c r="D49" i="6"/>
  <c r="D46" i="6"/>
  <c r="D43" i="6"/>
  <c r="C35" i="6"/>
  <c r="C36" i="6"/>
  <c r="C34" i="6"/>
  <c r="D32" i="6"/>
  <c r="D38" i="6" s="1"/>
  <c r="C26" i="6"/>
  <c r="C25" i="6"/>
  <c r="C24" i="6"/>
  <c r="C21" i="6"/>
  <c r="D22" i="6" s="1"/>
  <c r="C16" i="6"/>
  <c r="C17" i="6" s="1"/>
  <c r="C13" i="6"/>
  <c r="C12" i="6"/>
  <c r="C2" i="6"/>
  <c r="B58" i="6" l="1"/>
  <c r="D77" i="6" s="1"/>
  <c r="B57" i="6"/>
  <c r="B56" i="6"/>
  <c r="D76" i="6" s="1"/>
  <c r="C3" i="6"/>
  <c r="D4" i="6" s="1"/>
  <c r="B59" i="6"/>
  <c r="D78" i="6" s="1"/>
  <c r="C75" i="6" s="1"/>
  <c r="B80" i="6" s="1"/>
  <c r="B55" i="6"/>
  <c r="D27" i="6"/>
  <c r="C37" i="6"/>
  <c r="D18" i="6"/>
  <c r="D14" i="6"/>
  <c r="C66" i="6" l="1"/>
  <c r="B71" i="6" s="1"/>
  <c r="B72" i="6" s="1"/>
  <c r="C62" i="6"/>
</calcChain>
</file>

<file path=xl/sharedStrings.xml><?xml version="1.0" encoding="utf-8"?>
<sst xmlns="http://schemas.openxmlformats.org/spreadsheetml/2006/main" count="226" uniqueCount="142">
  <si>
    <t>Chỉ tiêu</t>
  </si>
  <si>
    <t>Chi phí dở dang đầu kỳ</t>
  </si>
  <si>
    <t>Chi phí phát sinh trong kỳ</t>
  </si>
  <si>
    <t>Chi phí dở dang cuối kỳ</t>
  </si>
  <si>
    <t>Tổng giá thành</t>
  </si>
  <si>
    <t>Z đơn vị</t>
  </si>
  <si>
    <t>Chi phí nguyên vật liệu trực tiếp</t>
  </si>
  <si>
    <t>Tổng cộng</t>
  </si>
  <si>
    <t>PHIẾU TÍNH GIÁ THÀNH SP X</t>
  </si>
  <si>
    <t>Định khoản bài tập 1/ontap</t>
  </si>
  <si>
    <t>Có TK 331</t>
  </si>
  <si>
    <t>2. Nợ TK 621X</t>
  </si>
  <si>
    <t xml:space="preserve">    Nợ TK 133</t>
  </si>
  <si>
    <t xml:space="preserve">    Nợ TK 621Y</t>
  </si>
  <si>
    <t>3a. Nợ TK 621X</t>
  </si>
  <si>
    <t>b. Nợ TK 621X</t>
  </si>
  <si>
    <t>4. Nợ TK 621X</t>
  </si>
  <si>
    <t xml:space="preserve">    Nợ TK 627</t>
  </si>
  <si>
    <t>5. Nợ TK 622X</t>
  </si>
  <si>
    <t xml:space="preserve">    Nợ TK 622Y</t>
  </si>
  <si>
    <t>Có TK 334</t>
  </si>
  <si>
    <t>6. Nợ TK 622X</t>
  </si>
  <si>
    <t xml:space="preserve">    Nợ TK 334</t>
  </si>
  <si>
    <t>Có TK 338</t>
  </si>
  <si>
    <t>7. Nợ TK 627</t>
  </si>
  <si>
    <t xml:space="preserve">    Nợ TK 641</t>
  </si>
  <si>
    <t xml:space="preserve">    Nợ TK 642</t>
  </si>
  <si>
    <t>Có TK 214</t>
  </si>
  <si>
    <t>8. Nợ TK 627</t>
  </si>
  <si>
    <t>9a. Nợ TK 242</t>
  </si>
  <si>
    <t>Có TK 153</t>
  </si>
  <si>
    <t>b. Nợ TK 627</t>
  </si>
  <si>
    <t>Có TK 242</t>
  </si>
  <si>
    <t>Tập hợp chi phí</t>
  </si>
  <si>
    <t>621X</t>
  </si>
  <si>
    <t>621Y</t>
  </si>
  <si>
    <t>622X</t>
  </si>
  <si>
    <t>622Y</t>
  </si>
  <si>
    <t>627</t>
  </si>
  <si>
    <t>Phân bổ 627 về cho 2 sp X và Y</t>
  </si>
  <si>
    <t>627X</t>
  </si>
  <si>
    <t>627Y</t>
  </si>
  <si>
    <t xml:space="preserve"> Chi phí nhân công</t>
  </si>
  <si>
    <t xml:space="preserve"> Chi phí sản xuất chung</t>
  </si>
  <si>
    <t>Tính giá thành sản phẩm:</t>
  </si>
  <si>
    <t>SP X</t>
  </si>
  <si>
    <t>Nợ TK 154X</t>
  </si>
  <si>
    <t>Có TK 621X</t>
  </si>
  <si>
    <t>Có TK 622X</t>
  </si>
  <si>
    <t>Có TK 627X</t>
  </si>
  <si>
    <t>Tổng giá thành sản phẩm X:</t>
  </si>
  <si>
    <t>Giá thành đơn vị sản phẩm X:</t>
  </si>
  <si>
    <t>Tổng giá thành sản phẩm Y:</t>
  </si>
  <si>
    <t>SP Y</t>
  </si>
  <si>
    <t>Nợ TK 154Y</t>
  </si>
  <si>
    <t>Có TK 621Y</t>
  </si>
  <si>
    <t>Có TK 622Y</t>
  </si>
  <si>
    <t>Có TK 627Y</t>
  </si>
  <si>
    <t>Giá thành đơn vị sản phẩm Y:</t>
  </si>
  <si>
    <t>PHIẾU TÍNH GIÁ THÀNH SP Y</t>
  </si>
  <si>
    <t>Có TK 111</t>
  </si>
  <si>
    <t>1a. Nợ TK 152A</t>
  </si>
  <si>
    <t>b. Nợ TK 152A</t>
  </si>
  <si>
    <t>Giá gốc:</t>
  </si>
  <si>
    <t>Khoản mục     chi phí</t>
  </si>
  <si>
    <t>Chi phí SX dở dang đầu kỳ</t>
  </si>
  <si>
    <t>Chi phí SX thực tế PS trong kỳ</t>
  </si>
  <si>
    <t>Chi phí SX    dở dang cuối kỳ</t>
  </si>
  <si>
    <t>Chi phí NVL trực tiếp</t>
  </si>
  <si>
    <t>Chi phí nhân công trực tiếp</t>
  </si>
  <si>
    <t>Chi phí sản xuất chung</t>
  </si>
  <si>
    <t>Số lượng SP nhập kho 100 sp X, 100 sp Y, 200 sp Z</t>
  </si>
  <si>
    <t>Số lượng sản phẩm dở dang cuối kỳ 30 sp X với mức độ hoàn thành 70%, 50 sp Y với mức độ hoàn thành 30%, 30 sp Z với mức độ hoàn thành 50%.</t>
  </si>
  <si>
    <t>Giá thành định mức của sản phẩm X là 84.000 đ/sp, của sp Y là 100.800 đ/sp, của sp Z là 117.600 đ/sp.</t>
  </si>
  <si>
    <t>Tính giá thành theo phương pháp tính giá thành hệ số? Lập phiếu tính giá thành?</t>
  </si>
  <si>
    <t>Bước 1: Tập hợp chi phí của toàn bộ quá trình sản xuất ra các sản phẩm:</t>
  </si>
  <si>
    <t>Tổng sản phẩm chuẩn hoàn thành:</t>
  </si>
  <si>
    <t xml:space="preserve">Hệ số tính giá thành: </t>
  </si>
  <si>
    <t>SPX</t>
  </si>
  <si>
    <t>SPY</t>
  </si>
  <si>
    <t>SPZ</t>
  </si>
  <si>
    <t>Bước 2: Xác định chi phí dở dang cuối kỳ:</t>
  </si>
  <si>
    <t>Bước 3: Tính tổng giá thành sản phẩm chuẩn hoàn thành:</t>
  </si>
  <si>
    <t xml:space="preserve">Bước 4: Z đơn vị sản phẩm chuẩn= </t>
  </si>
  <si>
    <t>Bước 5: Z thực tế đơn vị sản phẩm X, Y,Z</t>
  </si>
  <si>
    <t>Z thực tế đơn vị sp X:</t>
  </si>
  <si>
    <t>Z thực tế đơn vị sp Y:</t>
  </si>
  <si>
    <t>Z thực tế đơn vị sp Z:</t>
  </si>
  <si>
    <t>Bước 6: Tổng giá thành thực tế sp X, Y, Z</t>
  </si>
  <si>
    <t>Tổng giá thành thực tế sp X</t>
  </si>
  <si>
    <t>Tổng giá thành thực tế sp Y</t>
  </si>
  <si>
    <t>Tổng giá thành thực tế sp Z</t>
  </si>
  <si>
    <t>Nhập kho thành phẩm</t>
  </si>
  <si>
    <t>Nợ TK 155X</t>
  </si>
  <si>
    <t>Nợ TK 155Y</t>
  </si>
  <si>
    <t>Nợ TK 155Z</t>
  </si>
  <si>
    <t>Có TK 154</t>
  </si>
  <si>
    <t>Sửa bài:</t>
  </si>
  <si>
    <t>PHIẾU TÍNH GIÁ THÀNH SP X,Y,Z</t>
  </si>
  <si>
    <t>Chi phí dở dang cuối kỳ nhóm sp</t>
  </si>
  <si>
    <t>Tổng giá thành
 thực tế nhóm sp</t>
  </si>
  <si>
    <t>Z thực tế
  đơn vị sp chuẩn</t>
  </si>
  <si>
    <t>Chi phí 
dở dang 
đầu kỳ nhóm sp</t>
  </si>
  <si>
    <t>Chi phí
 phát sinh
 trong kỳ nhóm sp</t>
  </si>
  <si>
    <t xml:space="preserve">SP X, HS:
SL:  </t>
  </si>
  <si>
    <t>Z thực tế
 đơn vị</t>
  </si>
  <si>
    <t>CP nguyên vật liệu trực tiếp</t>
  </si>
  <si>
    <t xml:space="preserve">Tổng Z
 thực tế </t>
  </si>
  <si>
    <t xml:space="preserve">SP Y, HS:
SL:  </t>
  </si>
  <si>
    <t xml:space="preserve">SP Z, HS:
SL:  </t>
  </si>
  <si>
    <t>1a. Nợ TK 242</t>
  </si>
  <si>
    <t xml:space="preserve"> Nợ TK 627</t>
  </si>
  <si>
    <t>b. Nợ TK 152</t>
  </si>
  <si>
    <t>2. Nợ TK 622</t>
  </si>
  <si>
    <t>3. Nợ TK 622</t>
  </si>
  <si>
    <t>4. Nợ TK 152C</t>
  </si>
  <si>
    <t xml:space="preserve">    Nợ TK 152P</t>
  </si>
  <si>
    <t>Có TK 112</t>
  </si>
  <si>
    <t>Có TK152C</t>
  </si>
  <si>
    <t>6. Nợ TK 627</t>
  </si>
  <si>
    <t>7a. Nợ TK 627</t>
  </si>
  <si>
    <t>Có TK 141</t>
  </si>
  <si>
    <t>Có TK152P</t>
  </si>
  <si>
    <t>Số lượng sản phẩm chuẩn dở dang:</t>
  </si>
  <si>
    <t>Số lượng sản phẩm chuẩn hoàn thành:</t>
  </si>
  <si>
    <t>Bước 1: Tập hợp chi phí của quá trình sản xuất:</t>
  </si>
  <si>
    <t>Bước 2: Chi phí dở dang cuối kỳ</t>
  </si>
  <si>
    <t>Kết chuyển chi phí sang TK 154</t>
  </si>
  <si>
    <t>Nợ TK 154</t>
  </si>
  <si>
    <t>Có TK 621</t>
  </si>
  <si>
    <t>Có TK 622</t>
  </si>
  <si>
    <t>Có TK 627</t>
  </si>
  <si>
    <t>Phế liệu thu hồi nhập kho</t>
  </si>
  <si>
    <t>Nợ TK 152</t>
  </si>
  <si>
    <t>b. Nợ TK 621P</t>
  </si>
  <si>
    <t>Phế liệu
 thu hồi</t>
  </si>
  <si>
    <t>Có TK152A</t>
  </si>
  <si>
    <t>Có TK 152A</t>
  </si>
  <si>
    <t>Chọn SP có giá thành định mức nhỏ nhất là sp: X làm SP chuẩn</t>
  </si>
  <si>
    <t>SP X, HS:1
SL:  100</t>
  </si>
  <si>
    <t>SP Y, HS:2
SL:  100</t>
  </si>
  <si>
    <t>5a. Nợ TK 621C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</si>
</sst>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quotePrefix="1" applyFont="1"/>
    <xf numFmtId="3" fontId="1" fillId="0" borderId="1" xfId="0" applyNumberFormat="1" applyFont="1" applyBorder="1"/>
    <xf numFmtId="0" fontId="4" fillId="0" borderId="2" xfId="0" applyFont="1" applyBorder="1" applyAlignment="1">
      <alignment horizontal="left" vertical="center" wrapText="1" readingOrder="1"/>
    </xf>
    <xf numFmtId="3" fontId="4" fillId="0" borderId="2" xfId="0" applyNumberFormat="1" applyFont="1" applyBorder="1" applyAlignment="1">
      <alignment horizontal="right" vertical="center" wrapText="1" readingOrder="1"/>
    </xf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3" fontId="5" fillId="0" borderId="0" xfId="0" applyNumberFormat="1" applyFont="1"/>
    <xf numFmtId="0" fontId="5" fillId="0" borderId="0" xfId="0" quotePrefix="1" applyFont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14" workbookViewId="0">
      <selection activeCell="F98" sqref="F98"/>
    </sheetView>
  </sheetViews>
  <sheetFormatPr defaultColWidth="9.109375" defaultRowHeight="16.8" x14ac:dyDescent="0.3"/>
  <cols>
    <col min="1" max="1" width="36.33203125" style="1" bestFit="1" customWidth="1"/>
    <col min="2" max="2" width="25.5546875" style="1" bestFit="1" customWidth="1"/>
    <col min="3" max="3" width="34.109375" style="1" customWidth="1"/>
    <col min="4" max="4" width="26.5546875" style="1" bestFit="1" customWidth="1"/>
    <col min="5" max="5" width="17" style="1" bestFit="1" customWidth="1"/>
    <col min="6" max="16384" width="9.109375" style="1"/>
  </cols>
  <sheetData>
    <row r="1" spans="1:4" x14ac:dyDescent="0.3">
      <c r="A1" s="1" t="s">
        <v>9</v>
      </c>
    </row>
    <row r="2" spans="1:4" x14ac:dyDescent="0.3">
      <c r="A2" s="1" t="s">
        <v>61</v>
      </c>
      <c r="C2" s="5">
        <f>10000*1400</f>
        <v>14000000</v>
      </c>
      <c r="D2" s="5"/>
    </row>
    <row r="3" spans="1:4" x14ac:dyDescent="0.3">
      <c r="A3" s="1" t="s">
        <v>12</v>
      </c>
      <c r="C3" s="5">
        <f>C2*0.1</f>
        <v>1400000</v>
      </c>
      <c r="D3" s="5"/>
    </row>
    <row r="4" spans="1:4" x14ac:dyDescent="0.3">
      <c r="B4" s="1" t="s">
        <v>10</v>
      </c>
      <c r="C4" s="5"/>
      <c r="D4" s="5">
        <f>C2+C3</f>
        <v>15400000</v>
      </c>
    </row>
    <row r="5" spans="1:4" x14ac:dyDescent="0.3">
      <c r="C5" s="5"/>
      <c r="D5" s="5"/>
    </row>
    <row r="6" spans="1:4" x14ac:dyDescent="0.3">
      <c r="A6" s="1" t="s">
        <v>62</v>
      </c>
      <c r="C6" s="5">
        <v>1000000</v>
      </c>
      <c r="D6" s="5"/>
    </row>
    <row r="7" spans="1:4" x14ac:dyDescent="0.3">
      <c r="A7" s="1" t="s">
        <v>12</v>
      </c>
      <c r="C7" s="5">
        <f>C6*10%</f>
        <v>100000</v>
      </c>
      <c r="D7" s="5"/>
    </row>
    <row r="8" spans="1:4" x14ac:dyDescent="0.3">
      <c r="B8" s="1" t="s">
        <v>60</v>
      </c>
      <c r="C8" s="5"/>
      <c r="D8" s="5">
        <f>C6+C7</f>
        <v>1100000</v>
      </c>
    </row>
    <row r="9" spans="1:4" x14ac:dyDescent="0.3">
      <c r="C9" s="5"/>
      <c r="D9" s="5"/>
    </row>
    <row r="10" spans="1:4" x14ac:dyDescent="0.3">
      <c r="A10" s="1" t="s">
        <v>63</v>
      </c>
      <c r="B10" s="5">
        <f>(C2+C6)/10000</f>
        <v>1500</v>
      </c>
      <c r="C10" s="5"/>
      <c r="D10" s="5"/>
    </row>
    <row r="11" spans="1:4" x14ac:dyDescent="0.3">
      <c r="C11" s="5"/>
      <c r="D11" s="5"/>
    </row>
    <row r="12" spans="1:4" x14ac:dyDescent="0.3">
      <c r="A12" s="1" t="s">
        <v>11</v>
      </c>
      <c r="C12" s="5">
        <f>2000*1200</f>
        <v>2400000</v>
      </c>
      <c r="D12" s="5"/>
    </row>
    <row r="13" spans="1:4" x14ac:dyDescent="0.3">
      <c r="A13" s="1" t="s">
        <v>13</v>
      </c>
      <c r="C13" s="5">
        <f>1000*1500</f>
        <v>1500000</v>
      </c>
      <c r="D13" s="5"/>
    </row>
    <row r="14" spans="1:4" x14ac:dyDescent="0.3">
      <c r="B14" s="1" t="s">
        <v>136</v>
      </c>
      <c r="C14" s="5"/>
      <c r="D14" s="5">
        <f>C12+C13</f>
        <v>3900000</v>
      </c>
    </row>
    <row r="15" spans="1:4" x14ac:dyDescent="0.3">
      <c r="C15" s="5"/>
      <c r="D15" s="5"/>
    </row>
    <row r="16" spans="1:4" x14ac:dyDescent="0.3">
      <c r="A16" s="1" t="s">
        <v>14</v>
      </c>
      <c r="C16" s="5">
        <f>1600*5000</f>
        <v>8000000</v>
      </c>
      <c r="D16" s="5"/>
    </row>
    <row r="17" spans="1:4" x14ac:dyDescent="0.3">
      <c r="A17" s="1" t="s">
        <v>12</v>
      </c>
      <c r="C17" s="5">
        <f>C16*0.1</f>
        <v>800000</v>
      </c>
      <c r="D17" s="5"/>
    </row>
    <row r="18" spans="1:4" x14ac:dyDescent="0.3">
      <c r="B18" s="1" t="s">
        <v>10</v>
      </c>
      <c r="C18" s="5"/>
      <c r="D18" s="5">
        <f>C16+C17</f>
        <v>8800000</v>
      </c>
    </row>
    <row r="19" spans="1:4" x14ac:dyDescent="0.3">
      <c r="C19" s="5"/>
      <c r="D19" s="5"/>
    </row>
    <row r="20" spans="1:4" x14ac:dyDescent="0.3">
      <c r="A20" s="1" t="s">
        <v>15</v>
      </c>
      <c r="C20" s="5">
        <v>2000000</v>
      </c>
      <c r="D20" s="5"/>
    </row>
    <row r="21" spans="1:4" x14ac:dyDescent="0.3">
      <c r="A21" s="1" t="s">
        <v>12</v>
      </c>
      <c r="C21" s="5">
        <f>C20*0.1</f>
        <v>200000</v>
      </c>
      <c r="D21" s="5"/>
    </row>
    <row r="22" spans="1:4" x14ac:dyDescent="0.3">
      <c r="B22" s="1" t="s">
        <v>60</v>
      </c>
      <c r="C22" s="5"/>
      <c r="D22" s="5">
        <f>C20+C21</f>
        <v>2200000</v>
      </c>
    </row>
    <row r="23" spans="1:4" x14ac:dyDescent="0.3">
      <c r="C23" s="5"/>
      <c r="D23" s="5"/>
    </row>
    <row r="24" spans="1:4" x14ac:dyDescent="0.3">
      <c r="A24" s="1" t="s">
        <v>16</v>
      </c>
      <c r="C24" s="5">
        <f>1500*1500</f>
        <v>2250000</v>
      </c>
      <c r="D24" s="5"/>
    </row>
    <row r="25" spans="1:4" x14ac:dyDescent="0.3">
      <c r="A25" s="1" t="s">
        <v>13</v>
      </c>
      <c r="C25" s="5">
        <f>1000*1500</f>
        <v>1500000</v>
      </c>
      <c r="D25" s="5"/>
    </row>
    <row r="26" spans="1:4" x14ac:dyDescent="0.3">
      <c r="A26" s="1" t="s">
        <v>17</v>
      </c>
      <c r="C26" s="5">
        <f>500*1500</f>
        <v>750000</v>
      </c>
      <c r="D26" s="5"/>
    </row>
    <row r="27" spans="1:4" x14ac:dyDescent="0.3">
      <c r="B27" s="1" t="s">
        <v>137</v>
      </c>
      <c r="C27" s="5"/>
      <c r="D27" s="5">
        <f>C24+C25+C26</f>
        <v>4500000</v>
      </c>
    </row>
    <row r="28" spans="1:4" x14ac:dyDescent="0.3">
      <c r="C28" s="5"/>
      <c r="D28" s="5"/>
    </row>
    <row r="29" spans="1:4" x14ac:dyDescent="0.3">
      <c r="A29" s="1" t="s">
        <v>18</v>
      </c>
      <c r="C29" s="5">
        <v>12000000</v>
      </c>
      <c r="D29" s="5"/>
    </row>
    <row r="30" spans="1:4" x14ac:dyDescent="0.3">
      <c r="A30" s="1" t="s">
        <v>19</v>
      </c>
      <c r="C30" s="5">
        <v>8000000</v>
      </c>
      <c r="D30" s="5"/>
    </row>
    <row r="31" spans="1:4" x14ac:dyDescent="0.3">
      <c r="A31" s="1" t="s">
        <v>17</v>
      </c>
      <c r="C31" s="5">
        <v>8000000</v>
      </c>
      <c r="D31" s="5"/>
    </row>
    <row r="32" spans="1:4" x14ac:dyDescent="0.3">
      <c r="B32" s="1" t="s">
        <v>20</v>
      </c>
      <c r="C32" s="5"/>
      <c r="D32" s="5">
        <f>SUM(C29:C31)</f>
        <v>28000000</v>
      </c>
    </row>
    <row r="33" spans="1:4" x14ac:dyDescent="0.3">
      <c r="C33" s="5"/>
      <c r="D33" s="5"/>
    </row>
    <row r="34" spans="1:4" x14ac:dyDescent="0.3">
      <c r="A34" s="1" t="s">
        <v>21</v>
      </c>
      <c r="C34" s="5">
        <f>C29*23.5%</f>
        <v>2820000</v>
      </c>
      <c r="D34" s="5"/>
    </row>
    <row r="35" spans="1:4" x14ac:dyDescent="0.3">
      <c r="A35" s="1" t="s">
        <v>19</v>
      </c>
      <c r="C35" s="5">
        <f t="shared" ref="C35:C36" si="0">C30*23.5%</f>
        <v>1880000</v>
      </c>
      <c r="D35" s="5"/>
    </row>
    <row r="36" spans="1:4" x14ac:dyDescent="0.3">
      <c r="A36" s="1" t="s">
        <v>17</v>
      </c>
      <c r="C36" s="5">
        <f t="shared" si="0"/>
        <v>1880000</v>
      </c>
      <c r="D36" s="5"/>
    </row>
    <row r="37" spans="1:4" x14ac:dyDescent="0.3">
      <c r="A37" s="1" t="s">
        <v>22</v>
      </c>
      <c r="C37" s="5">
        <f>D32*10.5%</f>
        <v>2940000</v>
      </c>
      <c r="D37" s="5"/>
    </row>
    <row r="38" spans="1:4" x14ac:dyDescent="0.3">
      <c r="B38" s="1" t="s">
        <v>23</v>
      </c>
      <c r="C38" s="5"/>
      <c r="D38" s="5">
        <f>D32*0.34</f>
        <v>9520000</v>
      </c>
    </row>
    <row r="39" spans="1:4" x14ac:dyDescent="0.3">
      <c r="C39" s="5"/>
      <c r="D39" s="5"/>
    </row>
    <row r="40" spans="1:4" x14ac:dyDescent="0.3">
      <c r="A40" s="1" t="s">
        <v>24</v>
      </c>
      <c r="C40" s="5">
        <v>6000000</v>
      </c>
      <c r="D40" s="5"/>
    </row>
    <row r="41" spans="1:4" x14ac:dyDescent="0.3">
      <c r="A41" s="1" t="s">
        <v>25</v>
      </c>
      <c r="C41" s="5">
        <v>16000000</v>
      </c>
      <c r="D41" s="5"/>
    </row>
    <row r="42" spans="1:4" x14ac:dyDescent="0.3">
      <c r="A42" s="1" t="s">
        <v>26</v>
      </c>
      <c r="C42" s="5">
        <v>6000000</v>
      </c>
      <c r="D42" s="5"/>
    </row>
    <row r="43" spans="1:4" x14ac:dyDescent="0.3">
      <c r="B43" s="1" t="s">
        <v>27</v>
      </c>
      <c r="C43" s="5"/>
      <c r="D43" s="5">
        <f>SUM(C40:C42)</f>
        <v>28000000</v>
      </c>
    </row>
    <row r="44" spans="1:4" x14ac:dyDescent="0.3">
      <c r="C44" s="5"/>
      <c r="D44" s="5"/>
    </row>
    <row r="45" spans="1:4" x14ac:dyDescent="0.3">
      <c r="A45" s="1" t="s">
        <v>28</v>
      </c>
      <c r="C45" s="5">
        <v>2000000</v>
      </c>
      <c r="D45" s="5"/>
    </row>
    <row r="46" spans="1:4" x14ac:dyDescent="0.3">
      <c r="B46" s="1" t="s">
        <v>10</v>
      </c>
      <c r="C46" s="5"/>
      <c r="D46" s="5">
        <f>C45</f>
        <v>2000000</v>
      </c>
    </row>
    <row r="47" spans="1:4" x14ac:dyDescent="0.3">
      <c r="C47" s="5"/>
      <c r="D47" s="5"/>
    </row>
    <row r="48" spans="1:4" x14ac:dyDescent="0.3">
      <c r="A48" s="1" t="s">
        <v>29</v>
      </c>
      <c r="C48" s="5">
        <v>5000000</v>
      </c>
      <c r="D48" s="5"/>
    </row>
    <row r="49" spans="1:4" x14ac:dyDescent="0.3">
      <c r="B49" s="1" t="s">
        <v>30</v>
      </c>
      <c r="D49" s="5">
        <f>C48</f>
        <v>5000000</v>
      </c>
    </row>
    <row r="51" spans="1:4" x14ac:dyDescent="0.3">
      <c r="A51" s="1" t="s">
        <v>31</v>
      </c>
      <c r="C51" s="5">
        <f>C48/5</f>
        <v>1000000</v>
      </c>
      <c r="D51" s="5"/>
    </row>
    <row r="52" spans="1:4" x14ac:dyDescent="0.3">
      <c r="B52" s="1" t="s">
        <v>32</v>
      </c>
      <c r="C52" s="5"/>
      <c r="D52" s="5">
        <f>C51</f>
        <v>1000000</v>
      </c>
    </row>
    <row r="53" spans="1:4" x14ac:dyDescent="0.3">
      <c r="C53" s="5"/>
      <c r="D53" s="5"/>
    </row>
    <row r="54" spans="1:4" x14ac:dyDescent="0.3">
      <c r="A54" s="1" t="s">
        <v>33</v>
      </c>
      <c r="C54" s="5"/>
      <c r="D54" s="5"/>
    </row>
    <row r="55" spans="1:4" x14ac:dyDescent="0.3">
      <c r="A55" s="1" t="s">
        <v>34</v>
      </c>
      <c r="B55" s="5">
        <f>C12+C16+C20+C24</f>
        <v>14650000</v>
      </c>
      <c r="C55" s="5">
        <f>C12+C16+C20+C24</f>
        <v>14650000</v>
      </c>
      <c r="D55" s="5"/>
    </row>
    <row r="56" spans="1:4" x14ac:dyDescent="0.3">
      <c r="A56" s="1" t="s">
        <v>35</v>
      </c>
      <c r="B56" s="5">
        <f>C13+C25</f>
        <v>3000000</v>
      </c>
      <c r="C56" s="5">
        <f>C13+C25</f>
        <v>3000000</v>
      </c>
      <c r="D56" s="5"/>
    </row>
    <row r="57" spans="1:4" x14ac:dyDescent="0.3">
      <c r="A57" s="1" t="s">
        <v>36</v>
      </c>
      <c r="B57" s="5">
        <f>C34+C29</f>
        <v>14820000</v>
      </c>
      <c r="C57" s="5">
        <f>C34+C29</f>
        <v>14820000</v>
      </c>
      <c r="D57" s="5"/>
    </row>
    <row r="58" spans="1:4" x14ac:dyDescent="0.3">
      <c r="A58" s="1" t="s">
        <v>37</v>
      </c>
      <c r="B58" s="5">
        <f>C35+C30</f>
        <v>9880000</v>
      </c>
      <c r="C58" s="5">
        <f>C35+C30</f>
        <v>9880000</v>
      </c>
      <c r="D58" s="5"/>
    </row>
    <row r="59" spans="1:4" x14ac:dyDescent="0.3">
      <c r="A59" s="6" t="s">
        <v>38</v>
      </c>
      <c r="B59" s="5">
        <f>C26+C31+C36+C40+C45+C51</f>
        <v>19630000</v>
      </c>
      <c r="C59" s="5">
        <f>C26+C31+C36+C40+C45+C51</f>
        <v>19630000</v>
      </c>
      <c r="D59" s="5"/>
    </row>
    <row r="60" spans="1:4" x14ac:dyDescent="0.3">
      <c r="A60" s="1" t="s">
        <v>39</v>
      </c>
      <c r="C60" s="5"/>
      <c r="D60" s="5"/>
    </row>
    <row r="61" spans="1:4" x14ac:dyDescent="0.3">
      <c r="C61" s="5"/>
      <c r="D61" s="5"/>
    </row>
    <row r="62" spans="1:4" x14ac:dyDescent="0.3">
      <c r="A62" s="1" t="s">
        <v>40</v>
      </c>
      <c r="B62" s="5">
        <f>19630000*12000000/(12000000+8000000)</f>
        <v>11778000</v>
      </c>
      <c r="C62" s="5">
        <f>B62+B63</f>
        <v>19630000</v>
      </c>
      <c r="D62" s="5"/>
    </row>
    <row r="63" spans="1:4" x14ac:dyDescent="0.3">
      <c r="A63" s="1" t="s">
        <v>41</v>
      </c>
      <c r="B63" s="5">
        <f>B59-B62</f>
        <v>7852000</v>
      </c>
      <c r="C63" s="5"/>
      <c r="D63" s="5"/>
    </row>
    <row r="64" spans="1:4" x14ac:dyDescent="0.3">
      <c r="A64" s="1" t="s">
        <v>44</v>
      </c>
      <c r="C64" s="5"/>
      <c r="D64" s="5"/>
    </row>
    <row r="65" spans="1:4" x14ac:dyDescent="0.3">
      <c r="A65" s="1" t="s">
        <v>45</v>
      </c>
      <c r="C65" s="5"/>
      <c r="D65" s="5"/>
    </row>
    <row r="66" spans="1:4" x14ac:dyDescent="0.3">
      <c r="A66" s="1" t="s">
        <v>46</v>
      </c>
      <c r="B66" s="5"/>
      <c r="C66" s="5">
        <f>SUM(D67:D69)</f>
        <v>41248000</v>
      </c>
      <c r="D66" s="5"/>
    </row>
    <row r="67" spans="1:4" x14ac:dyDescent="0.3">
      <c r="B67" s="1" t="s">
        <v>47</v>
      </c>
      <c r="C67" s="5"/>
      <c r="D67" s="5">
        <f>B55</f>
        <v>14650000</v>
      </c>
    </row>
    <row r="68" spans="1:4" x14ac:dyDescent="0.3">
      <c r="B68" s="1" t="s">
        <v>48</v>
      </c>
      <c r="C68" s="5"/>
      <c r="D68" s="5">
        <f>B57</f>
        <v>14820000</v>
      </c>
    </row>
    <row r="69" spans="1:4" x14ac:dyDescent="0.3">
      <c r="B69" s="1" t="s">
        <v>49</v>
      </c>
      <c r="C69" s="5"/>
      <c r="D69" s="5">
        <f>B62</f>
        <v>11778000</v>
      </c>
    </row>
    <row r="70" spans="1:4" x14ac:dyDescent="0.3">
      <c r="C70" s="5"/>
      <c r="D70" s="5"/>
    </row>
    <row r="71" spans="1:4" x14ac:dyDescent="0.3">
      <c r="A71" s="1" t="s">
        <v>50</v>
      </c>
      <c r="B71" s="5">
        <f>3000000+C66-500000</f>
        <v>43748000</v>
      </c>
      <c r="C71" s="5"/>
      <c r="D71" s="5"/>
    </row>
    <row r="72" spans="1:4" x14ac:dyDescent="0.3">
      <c r="A72" s="1" t="s">
        <v>51</v>
      </c>
      <c r="B72" s="5">
        <f>B71/2000</f>
        <v>21874</v>
      </c>
      <c r="C72" s="5"/>
      <c r="D72" s="5"/>
    </row>
    <row r="73" spans="1:4" x14ac:dyDescent="0.3">
      <c r="A73" s="1" t="s">
        <v>44</v>
      </c>
      <c r="C73" s="5"/>
      <c r="D73" s="5"/>
    </row>
    <row r="74" spans="1:4" x14ac:dyDescent="0.3">
      <c r="A74" s="1" t="s">
        <v>53</v>
      </c>
      <c r="C74" s="5"/>
      <c r="D74" s="5"/>
    </row>
    <row r="75" spans="1:4" x14ac:dyDescent="0.3">
      <c r="A75" s="1" t="s">
        <v>54</v>
      </c>
      <c r="B75" s="5"/>
      <c r="C75" s="5">
        <f>SUM(D76:D78)</f>
        <v>20732000</v>
      </c>
      <c r="D75" s="5"/>
    </row>
    <row r="76" spans="1:4" x14ac:dyDescent="0.3">
      <c r="B76" s="1" t="s">
        <v>55</v>
      </c>
      <c r="C76" s="5"/>
      <c r="D76" s="5">
        <f>B56</f>
        <v>3000000</v>
      </c>
    </row>
    <row r="77" spans="1:4" x14ac:dyDescent="0.3">
      <c r="B77" s="1" t="s">
        <v>56</v>
      </c>
      <c r="C77" s="5"/>
      <c r="D77" s="5">
        <f>B58</f>
        <v>9880000</v>
      </c>
    </row>
    <row r="78" spans="1:4" x14ac:dyDescent="0.3">
      <c r="B78" s="1" t="s">
        <v>57</v>
      </c>
      <c r="C78" s="5"/>
      <c r="D78" s="5">
        <f>B63</f>
        <v>7852000</v>
      </c>
    </row>
    <row r="79" spans="1:4" x14ac:dyDescent="0.3">
      <c r="B79" s="5"/>
      <c r="C79" s="5"/>
      <c r="D79" s="5"/>
    </row>
    <row r="80" spans="1:4" x14ac:dyDescent="0.3">
      <c r="A80" s="1" t="s">
        <v>52</v>
      </c>
      <c r="B80" s="5">
        <f>2000000+C75-1000000</f>
        <v>21732000</v>
      </c>
      <c r="C80" s="5"/>
      <c r="D80" s="5"/>
    </row>
    <row r="81" spans="1:6" x14ac:dyDescent="0.3">
      <c r="A81" s="1" t="s">
        <v>58</v>
      </c>
      <c r="B81" s="5">
        <f>B80/1000</f>
        <v>21732</v>
      </c>
      <c r="C81" s="5"/>
      <c r="D81" s="5"/>
    </row>
    <row r="82" spans="1:6" x14ac:dyDescent="0.3">
      <c r="B82" s="5"/>
      <c r="C82" s="5"/>
      <c r="D82" s="5"/>
    </row>
    <row r="83" spans="1:6" x14ac:dyDescent="0.3">
      <c r="B83" s="5"/>
      <c r="C83" s="5"/>
      <c r="D83" s="5"/>
    </row>
    <row r="84" spans="1:6" x14ac:dyDescent="0.3">
      <c r="B84" s="5"/>
      <c r="C84" s="5"/>
      <c r="D84" s="5"/>
    </row>
    <row r="85" spans="1:6" ht="22.8" x14ac:dyDescent="0.4">
      <c r="C85" s="4" t="s">
        <v>8</v>
      </c>
    </row>
    <row r="86" spans="1:6" x14ac:dyDescent="0.3">
      <c r="C86" s="3"/>
    </row>
    <row r="87" spans="1:6" x14ac:dyDescent="0.3">
      <c r="A87" s="2" t="s">
        <v>0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</row>
    <row r="88" spans="1:6" x14ac:dyDescent="0.3">
      <c r="A88" s="2" t="s">
        <v>6</v>
      </c>
      <c r="B88" s="7">
        <v>3000000</v>
      </c>
      <c r="C88" s="7">
        <f>D67</f>
        <v>14650000</v>
      </c>
      <c r="D88" s="7">
        <f>500000</f>
        <v>500000</v>
      </c>
      <c r="E88" s="7">
        <f>B88+C88-D88</f>
        <v>17150000</v>
      </c>
      <c r="F88" s="7">
        <f>E88/2000</f>
        <v>8575</v>
      </c>
    </row>
    <row r="89" spans="1:6" x14ac:dyDescent="0.3">
      <c r="A89" s="2" t="s">
        <v>42</v>
      </c>
      <c r="B89" s="7"/>
      <c r="C89" s="7">
        <f>D68</f>
        <v>14820000</v>
      </c>
      <c r="D89" s="7"/>
      <c r="E89" s="7">
        <f t="shared" ref="E89:E90" si="1">B89+C89-D89</f>
        <v>14820000</v>
      </c>
      <c r="F89" s="7">
        <f t="shared" ref="F89:F91" si="2">E89/2000</f>
        <v>7410</v>
      </c>
    </row>
    <row r="90" spans="1:6" x14ac:dyDescent="0.3">
      <c r="A90" s="2" t="s">
        <v>43</v>
      </c>
      <c r="B90" s="7"/>
      <c r="C90" s="7">
        <f>D69</f>
        <v>11778000</v>
      </c>
      <c r="D90" s="7"/>
      <c r="E90" s="7">
        <f t="shared" si="1"/>
        <v>11778000</v>
      </c>
      <c r="F90" s="7">
        <f t="shared" si="2"/>
        <v>5889</v>
      </c>
    </row>
    <row r="91" spans="1:6" x14ac:dyDescent="0.3">
      <c r="A91" s="2" t="s">
        <v>7</v>
      </c>
      <c r="B91" s="7">
        <f>SUM(B88:B90)</f>
        <v>3000000</v>
      </c>
      <c r="C91" s="7">
        <f>C88+C89+C90</f>
        <v>41248000</v>
      </c>
      <c r="D91" s="7">
        <f t="shared" ref="D91:E91" si="3">D88+D89+D90</f>
        <v>500000</v>
      </c>
      <c r="E91" s="7">
        <f t="shared" si="3"/>
        <v>43748000</v>
      </c>
      <c r="F91" s="7">
        <f t="shared" si="2"/>
        <v>21874</v>
      </c>
    </row>
    <row r="92" spans="1:6" x14ac:dyDescent="0.3">
      <c r="C92" s="5"/>
      <c r="D92" s="5"/>
    </row>
    <row r="93" spans="1:6" ht="22.8" x14ac:dyDescent="0.4">
      <c r="C93" s="4" t="s">
        <v>59</v>
      </c>
    </row>
    <row r="94" spans="1:6" x14ac:dyDescent="0.3">
      <c r="C94" s="3"/>
    </row>
    <row r="95" spans="1:6" x14ac:dyDescent="0.3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</row>
    <row r="96" spans="1:6" x14ac:dyDescent="0.3">
      <c r="A96" s="2" t="s">
        <v>6</v>
      </c>
      <c r="B96" s="7">
        <v>2000000</v>
      </c>
      <c r="C96" s="7">
        <f>D76</f>
        <v>3000000</v>
      </c>
      <c r="D96" s="7">
        <v>1000000</v>
      </c>
      <c r="E96" s="7">
        <f>B96+C96-D96</f>
        <v>4000000</v>
      </c>
      <c r="F96" s="7">
        <f>E96/1000</f>
        <v>4000</v>
      </c>
    </row>
    <row r="97" spans="1:6" x14ac:dyDescent="0.3">
      <c r="A97" s="2" t="s">
        <v>42</v>
      </c>
      <c r="B97" s="7"/>
      <c r="C97" s="7">
        <f>D77</f>
        <v>9880000</v>
      </c>
      <c r="D97" s="7"/>
      <c r="E97" s="7">
        <f t="shared" ref="E97:E98" si="4">B97+C97-D97</f>
        <v>9880000</v>
      </c>
      <c r="F97" s="7">
        <f t="shared" ref="F97:F99" si="5">E97/1000</f>
        <v>9880</v>
      </c>
    </row>
    <row r="98" spans="1:6" x14ac:dyDescent="0.3">
      <c r="A98" s="2" t="s">
        <v>43</v>
      </c>
      <c r="B98" s="7"/>
      <c r="C98" s="7">
        <f>D78</f>
        <v>7852000</v>
      </c>
      <c r="D98" s="7"/>
      <c r="E98" s="7">
        <f t="shared" si="4"/>
        <v>7852000</v>
      </c>
      <c r="F98" s="7">
        <f t="shared" si="5"/>
        <v>7852</v>
      </c>
    </row>
    <row r="99" spans="1:6" x14ac:dyDescent="0.3">
      <c r="A99" s="2" t="s">
        <v>7</v>
      </c>
      <c r="B99" s="7">
        <f>SUM(B96:B98)</f>
        <v>2000000</v>
      </c>
      <c r="C99" s="7">
        <f t="shared" ref="C99:E99" si="6">SUM(C96:C98)</f>
        <v>20732000</v>
      </c>
      <c r="D99" s="7">
        <f t="shared" si="6"/>
        <v>1000000</v>
      </c>
      <c r="E99" s="7">
        <f t="shared" si="6"/>
        <v>21732000</v>
      </c>
      <c r="F99" s="7">
        <f t="shared" si="5"/>
        <v>21732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B34" workbookViewId="0">
      <selection activeCell="K36" sqref="K36:L36"/>
    </sheetView>
  </sheetViews>
  <sheetFormatPr defaultColWidth="9.109375" defaultRowHeight="25.2" x14ac:dyDescent="0.45"/>
  <cols>
    <col min="1" max="1" width="36.5546875" style="11" customWidth="1"/>
    <col min="2" max="2" width="18.33203125" style="11" customWidth="1"/>
    <col min="3" max="3" width="19.6640625" style="11" customWidth="1"/>
    <col min="4" max="4" width="21.33203125" style="11" customWidth="1"/>
    <col min="5" max="5" width="18.5546875" style="11" bestFit="1" customWidth="1"/>
    <col min="6" max="6" width="19.88671875" style="11" bestFit="1" customWidth="1"/>
    <col min="7" max="7" width="15.88671875" style="11" bestFit="1" customWidth="1"/>
    <col min="8" max="8" width="20.88671875" style="11" customWidth="1"/>
    <col min="9" max="9" width="15.88671875" style="11" bestFit="1" customWidth="1"/>
    <col min="10" max="10" width="16.5546875" style="11" bestFit="1" customWidth="1"/>
    <col min="11" max="11" width="15.88671875" style="11" bestFit="1" customWidth="1"/>
    <col min="12" max="12" width="18.5546875" style="11" bestFit="1" customWidth="1"/>
    <col min="13" max="16384" width="9.109375" style="11"/>
  </cols>
  <sheetData>
    <row r="1" spans="1:4" ht="121.5" customHeight="1" thickBot="1" x14ac:dyDescent="0.5">
      <c r="A1" s="8" t="s">
        <v>64</v>
      </c>
      <c r="B1" s="8" t="s">
        <v>65</v>
      </c>
      <c r="C1" s="8" t="s">
        <v>66</v>
      </c>
      <c r="D1" s="8" t="s">
        <v>67</v>
      </c>
    </row>
    <row r="2" spans="1:4" ht="48" customHeight="1" thickBot="1" x14ac:dyDescent="0.5">
      <c r="A2" s="8" t="s">
        <v>68</v>
      </c>
      <c r="B2" s="9">
        <v>2000000</v>
      </c>
      <c r="C2" s="9">
        <v>20570000</v>
      </c>
      <c r="D2" s="9">
        <v>4070000</v>
      </c>
    </row>
    <row r="3" spans="1:4" ht="51" thickBot="1" x14ac:dyDescent="0.5">
      <c r="A3" s="8" t="s">
        <v>69</v>
      </c>
      <c r="B3" s="9">
        <v>800000</v>
      </c>
      <c r="C3" s="9">
        <v>11520000</v>
      </c>
      <c r="D3" s="9">
        <v>1320000</v>
      </c>
    </row>
    <row r="4" spans="1:4" ht="25.8" thickBot="1" x14ac:dyDescent="0.5">
      <c r="A4" s="8" t="s">
        <v>70</v>
      </c>
      <c r="B4" s="9">
        <v>900000</v>
      </c>
      <c r="C4" s="9">
        <v>11980000</v>
      </c>
      <c r="D4" s="9">
        <v>1380000</v>
      </c>
    </row>
    <row r="5" spans="1:4" ht="25.8" thickBot="1" x14ac:dyDescent="0.5">
      <c r="A5" s="8" t="s">
        <v>7</v>
      </c>
      <c r="B5" s="9">
        <v>3700000</v>
      </c>
      <c r="C5" s="9">
        <v>44070000</v>
      </c>
      <c r="D5" s="9">
        <v>6770000</v>
      </c>
    </row>
    <row r="7" spans="1:4" x14ac:dyDescent="0.45">
      <c r="A7" s="10" t="s">
        <v>71</v>
      </c>
    </row>
    <row r="8" spans="1:4" x14ac:dyDescent="0.45">
      <c r="A8" s="10" t="s">
        <v>72</v>
      </c>
    </row>
    <row r="9" spans="1:4" x14ac:dyDescent="0.45">
      <c r="A9" s="10" t="s">
        <v>73</v>
      </c>
    </row>
    <row r="10" spans="1:4" x14ac:dyDescent="0.45">
      <c r="A10" s="10" t="s">
        <v>74</v>
      </c>
    </row>
    <row r="11" spans="1:4" x14ac:dyDescent="0.45">
      <c r="A11" s="10" t="s">
        <v>97</v>
      </c>
    </row>
    <row r="12" spans="1:4" x14ac:dyDescent="0.45">
      <c r="A12" s="11" t="s">
        <v>75</v>
      </c>
    </row>
    <row r="13" spans="1:4" x14ac:dyDescent="0.45">
      <c r="A13" s="11" t="s">
        <v>138</v>
      </c>
    </row>
    <row r="14" spans="1:4" x14ac:dyDescent="0.45">
      <c r="A14" s="11" t="s">
        <v>77</v>
      </c>
    </row>
    <row r="15" spans="1:4" x14ac:dyDescent="0.45">
      <c r="A15" s="11" t="s">
        <v>78</v>
      </c>
      <c r="B15" s="11">
        <f>84000/84000</f>
        <v>1</v>
      </c>
    </row>
    <row r="16" spans="1:4" x14ac:dyDescent="0.45">
      <c r="A16" s="11" t="s">
        <v>79</v>
      </c>
      <c r="B16" s="11">
        <f>100800/84000</f>
        <v>1.2</v>
      </c>
    </row>
    <row r="17" spans="1:6" x14ac:dyDescent="0.45">
      <c r="A17" s="11" t="s">
        <v>80</v>
      </c>
      <c r="B17" s="11">
        <f>117600/84000</f>
        <v>1.4</v>
      </c>
    </row>
    <row r="18" spans="1:6" x14ac:dyDescent="0.45">
      <c r="A18" s="11" t="s">
        <v>76</v>
      </c>
      <c r="D18" s="11">
        <f>100*1+100*1.2+200*1.4</f>
        <v>500</v>
      </c>
    </row>
    <row r="19" spans="1:6" x14ac:dyDescent="0.45">
      <c r="A19" s="11" t="s">
        <v>81</v>
      </c>
    </row>
    <row r="20" spans="1:6" x14ac:dyDescent="0.45">
      <c r="A20" s="11" t="s">
        <v>82</v>
      </c>
      <c r="E20" s="16">
        <f>B5+C5-D5</f>
        <v>41000000</v>
      </c>
      <c r="F20" s="16"/>
    </row>
    <row r="21" spans="1:6" x14ac:dyDescent="0.45">
      <c r="A21" s="11" t="s">
        <v>83</v>
      </c>
      <c r="E21" s="16">
        <f>E20/500</f>
        <v>82000</v>
      </c>
    </row>
    <row r="22" spans="1:6" x14ac:dyDescent="0.45">
      <c r="A22" s="11" t="s">
        <v>84</v>
      </c>
    </row>
    <row r="23" spans="1:6" x14ac:dyDescent="0.45">
      <c r="A23" s="11" t="s">
        <v>85</v>
      </c>
      <c r="C23" s="16">
        <f>E21*1</f>
        <v>82000</v>
      </c>
    </row>
    <row r="24" spans="1:6" x14ac:dyDescent="0.45">
      <c r="A24" s="11" t="s">
        <v>86</v>
      </c>
      <c r="C24" s="16">
        <f>E21*1.2</f>
        <v>98400</v>
      </c>
    </row>
    <row r="25" spans="1:6" x14ac:dyDescent="0.45">
      <c r="A25" s="11" t="s">
        <v>87</v>
      </c>
      <c r="C25" s="16">
        <f>E21*1.4</f>
        <v>114799.99999999999</v>
      </c>
    </row>
    <row r="26" spans="1:6" x14ac:dyDescent="0.45">
      <c r="A26" s="11" t="s">
        <v>88</v>
      </c>
    </row>
    <row r="27" spans="1:6" x14ac:dyDescent="0.45">
      <c r="A27" s="11" t="s">
        <v>89</v>
      </c>
      <c r="C27" s="11">
        <f>100*82000</f>
        <v>8200000</v>
      </c>
    </row>
    <row r="28" spans="1:6" x14ac:dyDescent="0.45">
      <c r="A28" s="11" t="s">
        <v>90</v>
      </c>
      <c r="C28" s="11">
        <f>100*98400</f>
        <v>9840000</v>
      </c>
    </row>
    <row r="29" spans="1:6" x14ac:dyDescent="0.45">
      <c r="A29" s="11" t="s">
        <v>91</v>
      </c>
      <c r="C29" s="11">
        <f>C25*200</f>
        <v>22959999.999999996</v>
      </c>
    </row>
    <row r="30" spans="1:6" x14ac:dyDescent="0.45">
      <c r="A30" s="11" t="s">
        <v>92</v>
      </c>
    </row>
    <row r="31" spans="1:6" x14ac:dyDescent="0.45">
      <c r="A31" s="11" t="s">
        <v>93</v>
      </c>
      <c r="C31" s="11">
        <f>C27</f>
        <v>8200000</v>
      </c>
    </row>
    <row r="32" spans="1:6" x14ac:dyDescent="0.45">
      <c r="A32" s="11" t="s">
        <v>94</v>
      </c>
      <c r="C32" s="11">
        <f>C28</f>
        <v>9840000</v>
      </c>
    </row>
    <row r="33" spans="1:12" x14ac:dyDescent="0.45">
      <c r="A33" s="11" t="s">
        <v>95</v>
      </c>
      <c r="C33" s="11">
        <f>C29</f>
        <v>22959999.999999996</v>
      </c>
    </row>
    <row r="34" spans="1:12" x14ac:dyDescent="0.45">
      <c r="B34" s="11" t="s">
        <v>96</v>
      </c>
      <c r="D34" s="11">
        <f>SUM(C31:C33)</f>
        <v>41000000</v>
      </c>
    </row>
    <row r="35" spans="1:12" x14ac:dyDescent="0.45">
      <c r="C35" s="11" t="s">
        <v>98</v>
      </c>
    </row>
    <row r="36" spans="1:12" ht="68.25" customHeight="1" x14ac:dyDescent="0.45">
      <c r="A36" s="22" t="s">
        <v>0</v>
      </c>
      <c r="B36" s="24" t="s">
        <v>102</v>
      </c>
      <c r="C36" s="24" t="s">
        <v>103</v>
      </c>
      <c r="D36" s="24" t="s">
        <v>99</v>
      </c>
      <c r="E36" s="24" t="s">
        <v>100</v>
      </c>
      <c r="F36" s="24" t="s">
        <v>101</v>
      </c>
      <c r="G36" s="20" t="s">
        <v>139</v>
      </c>
      <c r="H36" s="21"/>
      <c r="I36" s="20" t="s">
        <v>140</v>
      </c>
      <c r="J36" s="21"/>
      <c r="K36" s="20" t="s">
        <v>109</v>
      </c>
      <c r="L36" s="21"/>
    </row>
    <row r="37" spans="1:12" ht="68.25" customHeight="1" x14ac:dyDescent="0.45">
      <c r="A37" s="23"/>
      <c r="B37" s="23"/>
      <c r="C37" s="23"/>
      <c r="D37" s="25"/>
      <c r="E37" s="23"/>
      <c r="F37" s="23"/>
      <c r="G37" s="12" t="s">
        <v>105</v>
      </c>
      <c r="H37" s="12" t="s">
        <v>107</v>
      </c>
      <c r="I37" s="12" t="s">
        <v>105</v>
      </c>
      <c r="J37" s="12" t="s">
        <v>107</v>
      </c>
      <c r="K37" s="12" t="s">
        <v>105</v>
      </c>
      <c r="L37" s="12" t="s">
        <v>107</v>
      </c>
    </row>
    <row r="38" spans="1:12" x14ac:dyDescent="0.45">
      <c r="A38" s="2" t="s">
        <v>106</v>
      </c>
      <c r="B38" s="7">
        <f t="shared" ref="B38:D40" si="0">B2</f>
        <v>2000000</v>
      </c>
      <c r="C38" s="7">
        <f t="shared" si="0"/>
        <v>20570000</v>
      </c>
      <c r="D38" s="7">
        <f t="shared" si="0"/>
        <v>4070000</v>
      </c>
      <c r="E38" s="7">
        <f>B38+C38-D38</f>
        <v>18500000</v>
      </c>
      <c r="F38" s="7">
        <f>E38/500</f>
        <v>37000</v>
      </c>
      <c r="G38" s="18">
        <f>F38*1</f>
        <v>37000</v>
      </c>
      <c r="H38" s="18">
        <f>G38*100</f>
        <v>3700000</v>
      </c>
      <c r="I38" s="18">
        <f>F38*1.2</f>
        <v>44400</v>
      </c>
      <c r="J38" s="18">
        <f>I38*100</f>
        <v>4440000</v>
      </c>
      <c r="K38" s="18">
        <f>F38*1.4</f>
        <v>51800</v>
      </c>
      <c r="L38" s="18">
        <f>K38*200</f>
        <v>10360000</v>
      </c>
    </row>
    <row r="39" spans="1:12" x14ac:dyDescent="0.45">
      <c r="A39" s="2" t="s">
        <v>42</v>
      </c>
      <c r="B39" s="7">
        <f t="shared" si="0"/>
        <v>800000</v>
      </c>
      <c r="C39" s="7">
        <f t="shared" si="0"/>
        <v>11520000</v>
      </c>
      <c r="D39" s="7">
        <f t="shared" si="0"/>
        <v>1320000</v>
      </c>
      <c r="E39" s="7">
        <f t="shared" ref="E39:E40" si="1">B39+C39-D39</f>
        <v>11000000</v>
      </c>
      <c r="F39" s="7">
        <f t="shared" ref="F39:F41" si="2">E39/500</f>
        <v>22000</v>
      </c>
      <c r="G39" s="18">
        <f t="shared" ref="G39:G40" si="3">F39*1</f>
        <v>22000</v>
      </c>
      <c r="H39" s="18">
        <f t="shared" ref="H39:H40" si="4">G39*100</f>
        <v>2200000</v>
      </c>
      <c r="I39" s="18">
        <f t="shared" ref="I39:I40" si="5">F39*1.2</f>
        <v>26400</v>
      </c>
      <c r="J39" s="18">
        <f t="shared" ref="J39:J40" si="6">I39*100</f>
        <v>2640000</v>
      </c>
      <c r="K39" s="18">
        <f t="shared" ref="K39:K40" si="7">F39*1.4</f>
        <v>30799.999999999996</v>
      </c>
      <c r="L39" s="18">
        <f t="shared" ref="L39:L40" si="8">K39*200</f>
        <v>6159999.9999999991</v>
      </c>
    </row>
    <row r="40" spans="1:12" x14ac:dyDescent="0.45">
      <c r="A40" s="2" t="s">
        <v>43</v>
      </c>
      <c r="B40" s="7">
        <f t="shared" si="0"/>
        <v>900000</v>
      </c>
      <c r="C40" s="7">
        <f t="shared" si="0"/>
        <v>11980000</v>
      </c>
      <c r="D40" s="7">
        <f t="shared" si="0"/>
        <v>1380000</v>
      </c>
      <c r="E40" s="7">
        <f t="shared" si="1"/>
        <v>11500000</v>
      </c>
      <c r="F40" s="7">
        <f t="shared" si="2"/>
        <v>23000</v>
      </c>
      <c r="G40" s="18">
        <f t="shared" si="3"/>
        <v>23000</v>
      </c>
      <c r="H40" s="18">
        <f t="shared" si="4"/>
        <v>2300000</v>
      </c>
      <c r="I40" s="18">
        <f t="shared" si="5"/>
        <v>27600</v>
      </c>
      <c r="J40" s="18">
        <f t="shared" si="6"/>
        <v>2760000</v>
      </c>
      <c r="K40" s="18">
        <f t="shared" si="7"/>
        <v>32199.999999999996</v>
      </c>
      <c r="L40" s="18">
        <f t="shared" si="8"/>
        <v>6439999.9999999991</v>
      </c>
    </row>
    <row r="41" spans="1:12" x14ac:dyDescent="0.45">
      <c r="A41" s="2" t="s">
        <v>7</v>
      </c>
      <c r="B41" s="7">
        <f>SUM(B38:B40)</f>
        <v>3700000</v>
      </c>
      <c r="C41" s="7">
        <f t="shared" ref="C41:I41" si="9">SUM(C38:C40)</f>
        <v>44070000</v>
      </c>
      <c r="D41" s="7">
        <f t="shared" si="9"/>
        <v>6770000</v>
      </c>
      <c r="E41" s="7">
        <f t="shared" si="9"/>
        <v>41000000</v>
      </c>
      <c r="F41" s="7">
        <f t="shared" si="2"/>
        <v>82000</v>
      </c>
      <c r="G41" s="7">
        <f t="shared" si="9"/>
        <v>82000</v>
      </c>
      <c r="H41" s="7">
        <f t="shared" si="9"/>
        <v>8200000</v>
      </c>
      <c r="I41" s="7">
        <f t="shared" si="9"/>
        <v>98400</v>
      </c>
      <c r="J41" s="7">
        <f t="shared" ref="J41" si="10">SUM(J38:J40)</f>
        <v>9840000</v>
      </c>
      <c r="K41" s="7">
        <f t="shared" ref="K41:L41" si="11">SUM(K38:K40)</f>
        <v>114800</v>
      </c>
      <c r="L41" s="7">
        <f t="shared" si="11"/>
        <v>22960000</v>
      </c>
    </row>
  </sheetData>
  <mergeCells count="9">
    <mergeCell ref="I36:J36"/>
    <mergeCell ref="K36:L36"/>
    <mergeCell ref="G36:H36"/>
    <mergeCell ref="A36:A37"/>
    <mergeCell ref="B36:B37"/>
    <mergeCell ref="C36:C37"/>
    <mergeCell ref="D36:D37"/>
    <mergeCell ref="E36:E37"/>
    <mergeCell ref="F36:F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C69" sqref="C69:D80"/>
    </sheetView>
  </sheetViews>
  <sheetFormatPr defaultColWidth="9.109375" defaultRowHeight="25.2" x14ac:dyDescent="0.45"/>
  <cols>
    <col min="1" max="1" width="51.88671875" style="11" customWidth="1"/>
    <col min="2" max="2" width="22" style="11" bestFit="1" customWidth="1"/>
    <col min="3" max="3" width="25.44140625" style="16" customWidth="1"/>
    <col min="4" max="4" width="27.109375" style="16" customWidth="1"/>
    <col min="5" max="5" width="22" style="11" bestFit="1" customWidth="1"/>
    <col min="6" max="6" width="11.44140625" style="11" customWidth="1"/>
    <col min="7" max="16384" width="9.109375" style="11"/>
  </cols>
  <sheetData>
    <row r="1" spans="1:4" x14ac:dyDescent="0.45">
      <c r="A1" s="11" t="s">
        <v>110</v>
      </c>
      <c r="C1" s="16">
        <v>2000000</v>
      </c>
    </row>
    <row r="2" spans="1:4" x14ac:dyDescent="0.45">
      <c r="B2" s="11" t="s">
        <v>30</v>
      </c>
      <c r="D2" s="16">
        <f>C1</f>
        <v>2000000</v>
      </c>
    </row>
    <row r="4" spans="1:4" x14ac:dyDescent="0.45">
      <c r="A4" s="11" t="s">
        <v>111</v>
      </c>
      <c r="C4" s="16">
        <f>C1/4</f>
        <v>500000</v>
      </c>
    </row>
    <row r="5" spans="1:4" x14ac:dyDescent="0.45">
      <c r="B5" s="11" t="s">
        <v>32</v>
      </c>
      <c r="D5" s="16">
        <f>C4</f>
        <v>500000</v>
      </c>
    </row>
    <row r="7" spans="1:4" x14ac:dyDescent="0.45">
      <c r="A7" s="11" t="s">
        <v>112</v>
      </c>
      <c r="C7" s="16">
        <v>100000</v>
      </c>
    </row>
    <row r="8" spans="1:4" x14ac:dyDescent="0.45">
      <c r="A8" s="11" t="s">
        <v>17</v>
      </c>
      <c r="C8" s="16">
        <v>900000</v>
      </c>
    </row>
    <row r="9" spans="1:4" x14ac:dyDescent="0.45">
      <c r="B9" s="11" t="s">
        <v>32</v>
      </c>
      <c r="D9" s="16">
        <f>C7+C8</f>
        <v>1000000</v>
      </c>
    </row>
    <row r="11" spans="1:4" x14ac:dyDescent="0.45">
      <c r="A11" s="11" t="s">
        <v>113</v>
      </c>
      <c r="C11" s="16">
        <v>68000000</v>
      </c>
    </row>
    <row r="12" spans="1:4" x14ac:dyDescent="0.45">
      <c r="A12" s="11" t="s">
        <v>17</v>
      </c>
      <c r="C12" s="16">
        <v>40000000</v>
      </c>
    </row>
    <row r="13" spans="1:4" x14ac:dyDescent="0.45">
      <c r="A13" s="11" t="s">
        <v>25</v>
      </c>
      <c r="C13" s="16">
        <v>48000000</v>
      </c>
    </row>
    <row r="14" spans="1:4" x14ac:dyDescent="0.45">
      <c r="A14" s="11" t="s">
        <v>26</v>
      </c>
      <c r="C14" s="16">
        <v>37000000</v>
      </c>
    </row>
    <row r="15" spans="1:4" x14ac:dyDescent="0.45">
      <c r="B15" s="11" t="s">
        <v>20</v>
      </c>
      <c r="D15" s="16">
        <f>SUM(C11:C14)</f>
        <v>193000000</v>
      </c>
    </row>
    <row r="17" spans="1:5" x14ac:dyDescent="0.45">
      <c r="A17" s="11" t="s">
        <v>114</v>
      </c>
      <c r="C17" s="16">
        <f>C11*23.5%</f>
        <v>15980000</v>
      </c>
    </row>
    <row r="18" spans="1:5" x14ac:dyDescent="0.45">
      <c r="A18" s="11" t="s">
        <v>17</v>
      </c>
      <c r="C18" s="16">
        <f>C12*23.5%</f>
        <v>9400000</v>
      </c>
    </row>
    <row r="19" spans="1:5" x14ac:dyDescent="0.45">
      <c r="A19" s="11" t="s">
        <v>25</v>
      </c>
      <c r="C19" s="16">
        <f>48000000*23.5%</f>
        <v>11280000</v>
      </c>
    </row>
    <row r="20" spans="1:5" x14ac:dyDescent="0.45">
      <c r="A20" s="11" t="s">
        <v>26</v>
      </c>
      <c r="C20" s="16">
        <f>C14*23.5%</f>
        <v>8695000</v>
      </c>
    </row>
    <row r="21" spans="1:5" x14ac:dyDescent="0.45">
      <c r="A21" s="11" t="s">
        <v>22</v>
      </c>
      <c r="C21" s="16">
        <f>D15*10.5%</f>
        <v>20265000</v>
      </c>
    </row>
    <row r="22" spans="1:5" x14ac:dyDescent="0.45">
      <c r="B22" s="11" t="s">
        <v>23</v>
      </c>
      <c r="D22" s="16">
        <f>SUM(C17:C21)</f>
        <v>65620000</v>
      </c>
      <c r="E22" s="16">
        <f>D15*34%</f>
        <v>65620000.000000007</v>
      </c>
    </row>
    <row r="24" spans="1:5" x14ac:dyDescent="0.45">
      <c r="A24" s="11" t="s">
        <v>115</v>
      </c>
      <c r="C24" s="16">
        <f>4500*60000</f>
        <v>270000000</v>
      </c>
    </row>
    <row r="25" spans="1:5" x14ac:dyDescent="0.45">
      <c r="A25" s="11" t="s">
        <v>116</v>
      </c>
      <c r="C25" s="16">
        <f>23100*5000/1.1</f>
        <v>104999999.99999999</v>
      </c>
    </row>
    <row r="26" spans="1:5" x14ac:dyDescent="0.45">
      <c r="A26" s="11" t="s">
        <v>12</v>
      </c>
      <c r="C26" s="16">
        <f>(C24+C25)*10%</f>
        <v>37500000</v>
      </c>
    </row>
    <row r="27" spans="1:5" x14ac:dyDescent="0.45">
      <c r="B27" s="11" t="s">
        <v>117</v>
      </c>
      <c r="D27" s="16">
        <f>SUM(C24:C26)</f>
        <v>412500000</v>
      </c>
    </row>
    <row r="29" spans="1:5" x14ac:dyDescent="0.45">
      <c r="A29" s="11" t="s">
        <v>141</v>
      </c>
      <c r="C29" s="16">
        <f>4600*65000+400*60000</f>
        <v>323000000</v>
      </c>
    </row>
    <row r="30" spans="1:5" x14ac:dyDescent="0.45">
      <c r="B30" s="11" t="s">
        <v>118</v>
      </c>
      <c r="D30" s="16">
        <f>C29</f>
        <v>323000000</v>
      </c>
    </row>
    <row r="32" spans="1:5" x14ac:dyDescent="0.45">
      <c r="A32" s="11" t="s">
        <v>134</v>
      </c>
      <c r="C32" s="16">
        <f>2000*20000+1000*21000</f>
        <v>61000000</v>
      </c>
    </row>
    <row r="33" spans="1:4" x14ac:dyDescent="0.45">
      <c r="B33" s="11" t="s">
        <v>122</v>
      </c>
      <c r="D33" s="16">
        <f>C32</f>
        <v>61000000</v>
      </c>
    </row>
    <row r="35" spans="1:4" x14ac:dyDescent="0.45">
      <c r="A35" s="11" t="s">
        <v>119</v>
      </c>
      <c r="C35" s="16">
        <v>18140000</v>
      </c>
    </row>
    <row r="36" spans="1:4" x14ac:dyDescent="0.45">
      <c r="A36" s="11" t="s">
        <v>25</v>
      </c>
      <c r="C36" s="16">
        <v>7000000</v>
      </c>
    </row>
    <row r="37" spans="1:4" x14ac:dyDescent="0.45">
      <c r="A37" s="11" t="s">
        <v>26</v>
      </c>
      <c r="C37" s="16">
        <v>8000000</v>
      </c>
    </row>
    <row r="38" spans="1:4" x14ac:dyDescent="0.45">
      <c r="B38" s="11" t="s">
        <v>27</v>
      </c>
      <c r="D38" s="16">
        <f>C35+C36+C37</f>
        <v>33140000</v>
      </c>
    </row>
    <row r="40" spans="1:4" x14ac:dyDescent="0.45">
      <c r="A40" s="11" t="s">
        <v>120</v>
      </c>
      <c r="C40" s="16">
        <v>7000000</v>
      </c>
    </row>
    <row r="41" spans="1:4" x14ac:dyDescent="0.45">
      <c r="A41" s="11" t="s">
        <v>12</v>
      </c>
      <c r="C41" s="16">
        <f>C40*0.1</f>
        <v>700000</v>
      </c>
    </row>
    <row r="42" spans="1:4" x14ac:dyDescent="0.45">
      <c r="B42" s="11" t="s">
        <v>10</v>
      </c>
      <c r="D42" s="16">
        <f>C40+C41</f>
        <v>7700000</v>
      </c>
    </row>
    <row r="44" spans="1:4" x14ac:dyDescent="0.45">
      <c r="A44" s="11" t="s">
        <v>31</v>
      </c>
      <c r="C44" s="16">
        <v>3000000</v>
      </c>
    </row>
    <row r="45" spans="1:4" x14ac:dyDescent="0.45">
      <c r="A45" s="11" t="s">
        <v>12</v>
      </c>
      <c r="C45" s="16">
        <v>300000</v>
      </c>
    </row>
    <row r="46" spans="1:4" x14ac:dyDescent="0.45">
      <c r="B46" s="11" t="s">
        <v>121</v>
      </c>
      <c r="D46" s="16">
        <f>C44+C45</f>
        <v>3300000</v>
      </c>
    </row>
    <row r="48" spans="1:4" x14ac:dyDescent="0.45">
      <c r="A48" s="11" t="s">
        <v>125</v>
      </c>
    </row>
    <row r="49" spans="1:4" x14ac:dyDescent="0.45">
      <c r="A49" s="11">
        <v>621</v>
      </c>
      <c r="C49" s="16">
        <f>C29+C32</f>
        <v>384000000</v>
      </c>
      <c r="D49" s="16">
        <f>C29+C32</f>
        <v>384000000</v>
      </c>
    </row>
    <row r="50" spans="1:4" x14ac:dyDescent="0.45">
      <c r="A50" s="11">
        <v>622</v>
      </c>
      <c r="C50" s="16">
        <f>C17+C11</f>
        <v>83980000</v>
      </c>
      <c r="D50" s="16">
        <f>C11+C17</f>
        <v>83980000</v>
      </c>
    </row>
    <row r="51" spans="1:4" x14ac:dyDescent="0.45">
      <c r="A51" s="11">
        <v>627</v>
      </c>
      <c r="C51" s="16">
        <f>C4+C8+C12+C18+C35+C40+C44</f>
        <v>78940000</v>
      </c>
      <c r="D51" s="16">
        <f>C4+C8+C12+C18+C35+C40+C44</f>
        <v>78940000</v>
      </c>
    </row>
    <row r="52" spans="1:4" x14ac:dyDescent="0.45">
      <c r="A52" s="11" t="s">
        <v>127</v>
      </c>
    </row>
    <row r="53" spans="1:4" x14ac:dyDescent="0.45">
      <c r="A53" s="11" t="s">
        <v>128</v>
      </c>
      <c r="B53" s="16"/>
      <c r="C53" s="16">
        <f>D54+D55+D56</f>
        <v>546920000</v>
      </c>
    </row>
    <row r="54" spans="1:4" x14ac:dyDescent="0.45">
      <c r="B54" s="11" t="s">
        <v>129</v>
      </c>
      <c r="D54" s="16">
        <v>384000000</v>
      </c>
    </row>
    <row r="55" spans="1:4" x14ac:dyDescent="0.45">
      <c r="B55" s="11" t="s">
        <v>130</v>
      </c>
      <c r="D55" s="16">
        <v>83980000</v>
      </c>
    </row>
    <row r="56" spans="1:4" x14ac:dyDescent="0.45">
      <c r="B56" s="11" t="s">
        <v>131</v>
      </c>
      <c r="D56" s="16">
        <v>78940000</v>
      </c>
    </row>
    <row r="57" spans="1:4" x14ac:dyDescent="0.45">
      <c r="A57" s="11" t="s">
        <v>132</v>
      </c>
    </row>
    <row r="58" spans="1:4" x14ac:dyDescent="0.45">
      <c r="A58" s="11" t="s">
        <v>133</v>
      </c>
      <c r="B58" s="16"/>
      <c r="C58" s="16">
        <v>960000</v>
      </c>
    </row>
    <row r="59" spans="1:4" x14ac:dyDescent="0.45">
      <c r="B59" s="11" t="s">
        <v>96</v>
      </c>
      <c r="D59" s="16">
        <f>C58</f>
        <v>960000</v>
      </c>
    </row>
    <row r="60" spans="1:4" x14ac:dyDescent="0.45">
      <c r="A60" s="11" t="s">
        <v>124</v>
      </c>
      <c r="D60" s="16">
        <f>700*1+950*2+200*3</f>
        <v>3200</v>
      </c>
    </row>
    <row r="61" spans="1:4" x14ac:dyDescent="0.45">
      <c r="A61" s="11" t="s">
        <v>123</v>
      </c>
      <c r="D61" s="16">
        <f>60*1+30*2+10*3</f>
        <v>150</v>
      </c>
    </row>
    <row r="62" spans="1:4" x14ac:dyDescent="0.45">
      <c r="A62" s="11" t="s">
        <v>126</v>
      </c>
    </row>
    <row r="63" spans="1:4" x14ac:dyDescent="0.45">
      <c r="B63" s="16"/>
    </row>
    <row r="64" spans="1:4" x14ac:dyDescent="0.45">
      <c r="A64" s="17">
        <f>(12000000+323000000)*150/(3200+150)</f>
        <v>15000000</v>
      </c>
      <c r="B64" s="16"/>
    </row>
    <row r="66" spans="1:5" x14ac:dyDescent="0.45">
      <c r="A66" s="11" t="s">
        <v>82</v>
      </c>
      <c r="C66" s="11"/>
      <c r="D66" s="11"/>
      <c r="E66" s="16">
        <f>12000000+C53-A64-C58</f>
        <v>542960000</v>
      </c>
    </row>
    <row r="67" spans="1:5" x14ac:dyDescent="0.45">
      <c r="A67" s="11" t="s">
        <v>83</v>
      </c>
      <c r="C67" s="11"/>
      <c r="D67" s="11"/>
      <c r="E67" s="16">
        <f>E66/3200</f>
        <v>169675</v>
      </c>
    </row>
    <row r="68" spans="1:5" x14ac:dyDescent="0.45">
      <c r="A68" s="11" t="s">
        <v>84</v>
      </c>
      <c r="C68" s="11"/>
      <c r="D68" s="11"/>
    </row>
    <row r="69" spans="1:5" x14ac:dyDescent="0.45">
      <c r="A69" s="11" t="s">
        <v>85</v>
      </c>
      <c r="C69" s="16">
        <f>E67*1</f>
        <v>169675</v>
      </c>
    </row>
    <row r="70" spans="1:5" x14ac:dyDescent="0.45">
      <c r="A70" s="11" t="s">
        <v>86</v>
      </c>
      <c r="C70" s="16">
        <f>E67*2</f>
        <v>339350</v>
      </c>
    </row>
    <row r="71" spans="1:5" x14ac:dyDescent="0.45">
      <c r="A71" s="11" t="s">
        <v>87</v>
      </c>
      <c r="C71" s="16">
        <f>E67*3</f>
        <v>509025</v>
      </c>
    </row>
    <row r="72" spans="1:5" x14ac:dyDescent="0.45">
      <c r="A72" s="11" t="s">
        <v>88</v>
      </c>
    </row>
    <row r="73" spans="1:5" x14ac:dyDescent="0.45">
      <c r="A73" s="11" t="s">
        <v>89</v>
      </c>
      <c r="C73" s="16">
        <f>169675*700</f>
        <v>118772500</v>
      </c>
    </row>
    <row r="74" spans="1:5" x14ac:dyDescent="0.45">
      <c r="A74" s="11" t="s">
        <v>90</v>
      </c>
      <c r="C74" s="16">
        <f>C70*950</f>
        <v>322382500</v>
      </c>
    </row>
    <row r="75" spans="1:5" x14ac:dyDescent="0.45">
      <c r="A75" s="11" t="s">
        <v>91</v>
      </c>
      <c r="C75" s="16">
        <f>C71*200</f>
        <v>101805000</v>
      </c>
    </row>
    <row r="76" spans="1:5" x14ac:dyDescent="0.45">
      <c r="A76" s="11" t="s">
        <v>92</v>
      </c>
    </row>
    <row r="77" spans="1:5" x14ac:dyDescent="0.45">
      <c r="A77" s="11" t="s">
        <v>93</v>
      </c>
      <c r="C77" s="16">
        <f>C73</f>
        <v>118772500</v>
      </c>
    </row>
    <row r="78" spans="1:5" x14ac:dyDescent="0.45">
      <c r="A78" s="11" t="s">
        <v>94</v>
      </c>
      <c r="C78" s="16">
        <f>C74</f>
        <v>322382500</v>
      </c>
    </row>
    <row r="79" spans="1:5" x14ac:dyDescent="0.45">
      <c r="A79" s="11" t="s">
        <v>95</v>
      </c>
      <c r="C79" s="16">
        <f>C75</f>
        <v>101805000</v>
      </c>
    </row>
    <row r="80" spans="1:5" x14ac:dyDescent="0.45">
      <c r="B80" s="11" t="s">
        <v>96</v>
      </c>
      <c r="D80" s="16">
        <f>SUM(C77:C79)</f>
        <v>542960000</v>
      </c>
      <c r="E80" s="16">
        <f>D80-E66</f>
        <v>0</v>
      </c>
    </row>
    <row r="81" spans="1:13" x14ac:dyDescent="0.45">
      <c r="C81" s="11"/>
      <c r="D81" s="11"/>
    </row>
    <row r="82" spans="1:13" ht="26.25" customHeight="1" x14ac:dyDescent="0.45">
      <c r="A82" s="27" t="s">
        <v>0</v>
      </c>
      <c r="B82" s="29" t="s">
        <v>102</v>
      </c>
      <c r="C82" s="29" t="s">
        <v>103</v>
      </c>
      <c r="D82" s="29" t="s">
        <v>99</v>
      </c>
      <c r="E82" s="29" t="s">
        <v>135</v>
      </c>
      <c r="F82" s="29" t="s">
        <v>100</v>
      </c>
      <c r="G82" s="29" t="s">
        <v>101</v>
      </c>
      <c r="H82" s="20" t="s">
        <v>104</v>
      </c>
      <c r="I82" s="26"/>
      <c r="J82" s="20" t="s">
        <v>108</v>
      </c>
      <c r="K82" s="26"/>
      <c r="L82" s="20" t="s">
        <v>109</v>
      </c>
      <c r="M82" s="26"/>
    </row>
    <row r="83" spans="1:13" ht="126" x14ac:dyDescent="0.45">
      <c r="A83" s="28"/>
      <c r="B83" s="28"/>
      <c r="C83" s="30"/>
      <c r="D83" s="31"/>
      <c r="E83" s="23"/>
      <c r="F83" s="28"/>
      <c r="G83" s="28"/>
      <c r="H83" s="13" t="s">
        <v>105</v>
      </c>
      <c r="I83" s="13" t="s">
        <v>107</v>
      </c>
      <c r="J83" s="13" t="s">
        <v>105</v>
      </c>
      <c r="K83" s="13" t="s">
        <v>107</v>
      </c>
      <c r="L83" s="13" t="s">
        <v>105</v>
      </c>
      <c r="M83" s="13" t="s">
        <v>107</v>
      </c>
    </row>
    <row r="84" spans="1:13" x14ac:dyDescent="0.45">
      <c r="A84" s="15" t="s">
        <v>106</v>
      </c>
      <c r="B84" s="19"/>
      <c r="C84" s="14"/>
      <c r="D84" s="14"/>
      <c r="E84" s="18"/>
      <c r="F84" s="18"/>
      <c r="G84" s="18"/>
      <c r="H84" s="18"/>
      <c r="I84" s="18"/>
      <c r="J84" s="18"/>
      <c r="K84" s="18"/>
      <c r="L84" s="18"/>
      <c r="M84" s="18"/>
    </row>
    <row r="85" spans="1:13" x14ac:dyDescent="0.45">
      <c r="A85" s="15" t="s">
        <v>42</v>
      </c>
      <c r="B85" s="14"/>
      <c r="C85" s="14"/>
      <c r="D85" s="14"/>
      <c r="E85" s="18"/>
      <c r="F85" s="18"/>
      <c r="G85" s="18"/>
      <c r="H85" s="18"/>
      <c r="I85" s="18"/>
      <c r="J85" s="18"/>
      <c r="K85" s="18"/>
      <c r="L85" s="18"/>
      <c r="M85" s="18"/>
    </row>
    <row r="86" spans="1:13" x14ac:dyDescent="0.45">
      <c r="A86" s="15" t="s">
        <v>43</v>
      </c>
      <c r="B86" s="14"/>
      <c r="C86" s="14"/>
      <c r="D86" s="14"/>
      <c r="E86" s="18"/>
      <c r="F86" s="18"/>
      <c r="G86" s="18"/>
      <c r="H86" s="18"/>
      <c r="I86" s="18"/>
      <c r="J86" s="18"/>
      <c r="K86" s="18"/>
      <c r="L86" s="18"/>
      <c r="M86" s="18"/>
    </row>
    <row r="87" spans="1:13" x14ac:dyDescent="0.45">
      <c r="A87" s="15" t="s">
        <v>7</v>
      </c>
      <c r="B87" s="14"/>
      <c r="C87" s="14"/>
      <c r="D87" s="14"/>
      <c r="E87" s="18"/>
      <c r="F87" s="18"/>
      <c r="G87" s="18"/>
      <c r="H87" s="18"/>
      <c r="I87" s="18"/>
      <c r="J87" s="18"/>
      <c r="K87" s="18"/>
      <c r="L87" s="18"/>
      <c r="M87" s="18"/>
    </row>
  </sheetData>
  <mergeCells count="10">
    <mergeCell ref="H82:I82"/>
    <mergeCell ref="J82:K82"/>
    <mergeCell ref="L82:M82"/>
    <mergeCell ref="A82:A83"/>
    <mergeCell ref="B82:B83"/>
    <mergeCell ref="C82:C83"/>
    <mergeCell ref="D82:D83"/>
    <mergeCell ref="F82:F83"/>
    <mergeCell ref="G82:G83"/>
    <mergeCell ref="E82:E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ontap1</vt:lpstr>
      <vt:lpstr>vd_slice</vt:lpstr>
      <vt:lpstr>bai7-tinhgiathanh</vt:lpstr>
    </vt:vector>
  </TitlesOfParts>
  <Company>UIT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Orbitvn</dc:creator>
  <cp:lastModifiedBy>Asus</cp:lastModifiedBy>
  <dcterms:created xsi:type="dcterms:W3CDTF">2020-04-07T09:30:21Z</dcterms:created>
  <dcterms:modified xsi:type="dcterms:W3CDTF">2020-04-18T03:39:55Z</dcterms:modified>
</cp:coreProperties>
</file>