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guichihuong\"/>
    </mc:Choice>
  </mc:AlternateContent>
  <bookViews>
    <workbookView xWindow="0" yWindow="0" windowWidth="23040" windowHeight="8232" activeTab="2"/>
  </bookViews>
  <sheets>
    <sheet name="vd1" sheetId="1" r:id="rId1"/>
    <sheet name="vd2" sheetId="4" r:id="rId2"/>
    <sheet name="ontap2" sheetId="7" r:id="rId3"/>
  </sheets>
  <calcPr calcId="152511"/>
</workbook>
</file>

<file path=xl/calcChain.xml><?xml version="1.0" encoding="utf-8"?>
<calcChain xmlns="http://schemas.openxmlformats.org/spreadsheetml/2006/main">
  <c r="G85" i="7" l="1"/>
  <c r="G86" i="7"/>
  <c r="G87" i="7"/>
  <c r="G88" i="7"/>
  <c r="G89" i="7"/>
  <c r="G84" i="7"/>
  <c r="F85" i="7"/>
  <c r="F86" i="7"/>
  <c r="F87" i="7"/>
  <c r="F88" i="7"/>
  <c r="F89" i="7"/>
  <c r="F84" i="7"/>
  <c r="E84" i="7"/>
  <c r="D89" i="7"/>
  <c r="D84" i="7"/>
  <c r="D88" i="7"/>
  <c r="D87" i="7"/>
  <c r="D86" i="7"/>
  <c r="D85" i="7"/>
  <c r="C89" i="7"/>
  <c r="C84" i="7"/>
  <c r="C88" i="7"/>
  <c r="C87" i="7"/>
  <c r="C86" i="7"/>
  <c r="C85" i="7"/>
  <c r="B84" i="7"/>
  <c r="B89" i="7"/>
  <c r="C71" i="7" l="1"/>
  <c r="C70" i="7"/>
  <c r="C69" i="7"/>
  <c r="C68" i="7"/>
  <c r="C21" i="7"/>
  <c r="D62" i="7"/>
  <c r="D59" i="7"/>
  <c r="C24" i="7"/>
  <c r="C72" i="7" l="1"/>
  <c r="B64" i="7"/>
  <c r="D75" i="7" s="1"/>
  <c r="C64" i="7"/>
  <c r="D54" i="7"/>
  <c r="C45" i="7"/>
  <c r="C46" i="7"/>
  <c r="C47" i="7"/>
  <c r="C44" i="7"/>
  <c r="D42" i="7"/>
  <c r="D49" i="7" s="1"/>
  <c r="C30" i="7"/>
  <c r="D28" i="7"/>
  <c r="D25" i="7"/>
  <c r="C17" i="7"/>
  <c r="D18" i="7" s="1"/>
  <c r="C12" i="7"/>
  <c r="C20" i="7" s="1"/>
  <c r="D20" i="7" s="1"/>
  <c r="C7" i="7"/>
  <c r="D8" i="7" s="1"/>
  <c r="C2" i="7"/>
  <c r="D36" i="7"/>
  <c r="C65" i="7" l="1"/>
  <c r="B65" i="7"/>
  <c r="D76" i="7" s="1"/>
  <c r="D31" i="7"/>
  <c r="B66" i="7"/>
  <c r="D77" i="7" s="1"/>
  <c r="C66" i="7"/>
  <c r="D22" i="7"/>
  <c r="C3" i="7"/>
  <c r="D4" i="7" s="1"/>
  <c r="C10" i="7"/>
  <c r="D10" i="7" s="1"/>
  <c r="C48" i="7"/>
  <c r="C13" i="7"/>
  <c r="D14" i="7" s="1"/>
  <c r="C74" i="7" l="1"/>
  <c r="B79" i="7" s="1"/>
  <c r="B80" i="7" s="1"/>
</calcChain>
</file>

<file path=xl/sharedStrings.xml><?xml version="1.0" encoding="utf-8"?>
<sst xmlns="http://schemas.openxmlformats.org/spreadsheetml/2006/main" count="122" uniqueCount="87">
  <si>
    <t>Chi phí sản xuất dở dang cuối kỳ</t>
  </si>
  <si>
    <t>=</t>
  </si>
  <si>
    <t>Số lượng sản phẩm dở dang cuối kỳ</t>
  </si>
  <si>
    <t>x</t>
  </si>
  <si>
    <t>Tỷ lệ hoàn thành</t>
  </si>
  <si>
    <t>Định mức chi phí</t>
  </si>
  <si>
    <t>1. Chi phí định mức:</t>
  </si>
  <si>
    <t>- Chi phí NVL chính</t>
  </si>
  <si>
    <t>10.000 đ</t>
  </si>
  <si>
    <t>- Chi phí NVL phụ</t>
  </si>
  <si>
    <t xml:space="preserve">  4.000 đ</t>
  </si>
  <si>
    <t>- Chi phí nhân công trực tiếp</t>
  </si>
  <si>
    <t>7.000 đ</t>
  </si>
  <si>
    <t>- Chi phí SXC</t>
  </si>
  <si>
    <t>8.500 đ</t>
  </si>
  <si>
    <t>2. Số lượng SP hoàn thành nhập kho 450 sp, dở dang cuối kỳ 50 sp, mức độ hoàn thành 40%.</t>
  </si>
  <si>
    <t xml:space="preserve"> * Chi phí nguyên vật liệu trực tiếp dở dang</t>
  </si>
  <si>
    <t xml:space="preserve"> + Chi phí nguyên vật liệu chính dở dang:</t>
  </si>
  <si>
    <t xml:space="preserve"> + Chi phí nguyên vật liệu phụ dở dang:</t>
  </si>
  <si>
    <t xml:space="preserve">  * Chi phí nhân công dở dang:</t>
  </si>
  <si>
    <t xml:space="preserve">  * Chi phí sản xuất chung dở dang:</t>
  </si>
  <si>
    <t xml:space="preserve"> Chi phí dở dang cuối kỳ:</t>
  </si>
  <si>
    <t>500.000 đ</t>
  </si>
  <si>
    <t xml:space="preserve">  400.000 đ</t>
  </si>
  <si>
    <t>100.000 đ</t>
  </si>
  <si>
    <t>50.000 đ</t>
  </si>
  <si>
    <t>2. Số lượng SP hoàn thành nhập kho 500 sp, dở dang cuối kỳ 100 sp, mức độ hoàn thành 60%.</t>
  </si>
  <si>
    <t>Chi phí sản xuất chung dở dang:</t>
  </si>
  <si>
    <t>Chi phí nguyên vật liệu phụ dở dang:</t>
  </si>
  <si>
    <t>Chỉ tiêu</t>
  </si>
  <si>
    <t>Chi phí dở dang đầu kỳ</t>
  </si>
  <si>
    <t>Chi phí phát sinh trong kỳ</t>
  </si>
  <si>
    <t>Chi phí dở dang cuối kỳ</t>
  </si>
  <si>
    <t>Tổng giá thành</t>
  </si>
  <si>
    <t>Z đơn vị</t>
  </si>
  <si>
    <t>Chi phí nguyên vật liệu trực tiếp</t>
  </si>
  <si>
    <t>Tổng cộng</t>
  </si>
  <si>
    <t>Có TK 331</t>
  </si>
  <si>
    <t xml:space="preserve">    Nợ TK 133</t>
  </si>
  <si>
    <t>Có TK 334</t>
  </si>
  <si>
    <t xml:space="preserve">    Nợ TK 334</t>
  </si>
  <si>
    <t>Có TK 338</t>
  </si>
  <si>
    <t xml:space="preserve">    Nợ TK 641</t>
  </si>
  <si>
    <t xml:space="preserve">    Nợ TK 642</t>
  </si>
  <si>
    <t>Có TK 214</t>
  </si>
  <si>
    <t>Có TK 153</t>
  </si>
  <si>
    <t>b. Nợ TK 627</t>
  </si>
  <si>
    <t>Có TK 242</t>
  </si>
  <si>
    <t>Tập hợp chi phí</t>
  </si>
  <si>
    <t xml:space="preserve"> Chi phí nhân công</t>
  </si>
  <si>
    <t xml:space="preserve"> Chi phí sản xuất chung</t>
  </si>
  <si>
    <t>Tính giá thành sản phẩm:</t>
  </si>
  <si>
    <t>Tổng giá thành sản phẩm X:</t>
  </si>
  <si>
    <t>Giá thành đơn vị sản phẩm X:</t>
  </si>
  <si>
    <t>Định khoản bài tập 2/ontap</t>
  </si>
  <si>
    <t>1a. Nợ TK 152C</t>
  </si>
  <si>
    <t>b. Nợ TK 152C</t>
  </si>
  <si>
    <t>2a. Nợ TK 152P</t>
  </si>
  <si>
    <t>b. Nợ TK 152P</t>
  </si>
  <si>
    <t>Có TK 111</t>
  </si>
  <si>
    <t>Giá gốc: 9.100 +100 = 9.200đ/kg</t>
  </si>
  <si>
    <t>Giá gốc: 3.500+100=3.600đ/kg</t>
  </si>
  <si>
    <t>Có TK152C</t>
  </si>
  <si>
    <t>3. Nợ TK 621C</t>
  </si>
  <si>
    <t>4. Nợ TK 621P</t>
  </si>
  <si>
    <t>Có TK152P</t>
  </si>
  <si>
    <t>5a. Nợ TK 242</t>
  </si>
  <si>
    <t>6. Nợ TK 627</t>
  </si>
  <si>
    <t xml:space="preserve">   Nợ TK 627</t>
  </si>
  <si>
    <t>7. Nợ TK 622</t>
  </si>
  <si>
    <t>8. Nợ TK 622</t>
  </si>
  <si>
    <t xml:space="preserve">  9. Nợ TK 627</t>
  </si>
  <si>
    <t>10. Nợ TK 627</t>
  </si>
  <si>
    <t>11. Nợ TK 152</t>
  </si>
  <si>
    <t>Có TK 154</t>
  </si>
  <si>
    <t>Đánh giá chi phí dở dang cuối kỳ:</t>
  </si>
  <si>
    <t>Chi phí nguyên vật liệu chính dở dang:</t>
  </si>
  <si>
    <t>Chi phí nhân công  dở dang:</t>
  </si>
  <si>
    <t>Tổng chi phí dở dang cuối kỳ:</t>
  </si>
  <si>
    <t>Nợ TK 154</t>
  </si>
  <si>
    <t>Có TK 621</t>
  </si>
  <si>
    <t>Có TK 622</t>
  </si>
  <si>
    <t>Có TK 627</t>
  </si>
  <si>
    <t xml:space="preserve">PHIẾU TÍNH GIÁ THÀNH SP </t>
  </si>
  <si>
    <t>+Chi phí nguyên vật liệu chính</t>
  </si>
  <si>
    <t>+Chi phí nguyên vật liệu phụ</t>
  </si>
  <si>
    <t>Phế liệu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</si>
</sst>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24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indent="3" readingOrder="1"/>
    </xf>
    <xf numFmtId="0" fontId="2" fillId="0" borderId="0" xfId="0" applyFont="1" applyAlignment="1">
      <alignment horizontal="right" vertical="center" readingOrder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readingOrder="1"/>
    </xf>
    <xf numFmtId="0" fontId="1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3" fontId="4" fillId="0" borderId="0" xfId="0" applyNumberFormat="1" applyFont="1"/>
    <xf numFmtId="3" fontId="4" fillId="0" borderId="1" xfId="0" applyNumberFormat="1" applyFont="1" applyBorder="1"/>
    <xf numFmtId="0" fontId="5" fillId="0" borderId="1" xfId="0" quotePrefix="1" applyFont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6" sqref="G6"/>
    </sheetView>
  </sheetViews>
  <sheetFormatPr defaultRowHeight="14.4" x14ac:dyDescent="0.3"/>
  <cols>
    <col min="1" max="1" width="62" bestFit="1" customWidth="1"/>
    <col min="2" max="2" width="19.44140625" bestFit="1" customWidth="1"/>
    <col min="3" max="3" width="21.109375" customWidth="1"/>
    <col min="5" max="5" width="16.6640625" customWidth="1"/>
    <col min="7" max="7" width="18.33203125" customWidth="1"/>
  </cols>
  <sheetData>
    <row r="1" spans="1:9" ht="30.6" x14ac:dyDescent="0.3">
      <c r="A1" s="3" t="s">
        <v>6</v>
      </c>
    </row>
    <row r="2" spans="1:9" ht="30.6" x14ac:dyDescent="0.3">
      <c r="A2" s="3" t="s">
        <v>7</v>
      </c>
      <c r="C2" s="4" t="s">
        <v>8</v>
      </c>
    </row>
    <row r="3" spans="1:9" ht="30.6" x14ac:dyDescent="0.3">
      <c r="A3" s="3" t="s">
        <v>9</v>
      </c>
      <c r="C3" s="4" t="s">
        <v>10</v>
      </c>
    </row>
    <row r="4" spans="1:9" ht="30.6" x14ac:dyDescent="0.3">
      <c r="A4" s="3" t="s">
        <v>11</v>
      </c>
      <c r="C4" s="4" t="s">
        <v>12</v>
      </c>
    </row>
    <row r="5" spans="1:9" ht="30.6" x14ac:dyDescent="0.3">
      <c r="A5" s="3" t="s">
        <v>13</v>
      </c>
      <c r="C5" s="4" t="s">
        <v>14</v>
      </c>
    </row>
    <row r="6" spans="1:9" ht="93" customHeight="1" x14ac:dyDescent="0.3">
      <c r="A6" s="7" t="s">
        <v>15</v>
      </c>
      <c r="B6" s="6"/>
      <c r="C6" s="6"/>
      <c r="D6" s="6"/>
      <c r="E6" s="6"/>
      <c r="F6" s="5"/>
      <c r="G6" s="5"/>
      <c r="H6" s="5"/>
      <c r="I6" s="5"/>
    </row>
    <row r="7" spans="1:9" ht="30.6" x14ac:dyDescent="0.3">
      <c r="A7" s="1"/>
      <c r="B7" s="16" t="s">
        <v>1</v>
      </c>
      <c r="C7" s="1"/>
      <c r="D7" s="16" t="s">
        <v>3</v>
      </c>
      <c r="E7" s="2"/>
      <c r="F7" s="16" t="s">
        <v>3</v>
      </c>
      <c r="G7" s="2"/>
    </row>
    <row r="8" spans="1:9" ht="122.4" x14ac:dyDescent="0.3">
      <c r="A8" s="2" t="s">
        <v>0</v>
      </c>
      <c r="B8" s="16"/>
      <c r="C8" s="2" t="s">
        <v>2</v>
      </c>
      <c r="D8" s="16"/>
      <c r="E8" s="2" t="s">
        <v>4</v>
      </c>
      <c r="F8" s="16"/>
      <c r="G8" s="1" t="s">
        <v>5</v>
      </c>
    </row>
    <row r="10" spans="1:9" ht="30.6" x14ac:dyDescent="0.55000000000000004">
      <c r="A10" s="8" t="s">
        <v>16</v>
      </c>
    </row>
    <row r="11" spans="1:9" ht="30.6" x14ac:dyDescent="0.55000000000000004">
      <c r="A11" s="8" t="s">
        <v>17</v>
      </c>
    </row>
    <row r="12" spans="1:9" ht="30.6" x14ac:dyDescent="0.55000000000000004">
      <c r="A12" s="8" t="s">
        <v>18</v>
      </c>
    </row>
    <row r="13" spans="1:9" ht="30.6" x14ac:dyDescent="0.55000000000000004">
      <c r="A13" s="8" t="s">
        <v>19</v>
      </c>
    </row>
    <row r="14" spans="1:9" ht="30.6" x14ac:dyDescent="0.55000000000000004">
      <c r="A14" s="8" t="s">
        <v>20</v>
      </c>
    </row>
    <row r="15" spans="1:9" ht="30.6" x14ac:dyDescent="0.55000000000000004">
      <c r="A15" s="8" t="s">
        <v>21</v>
      </c>
    </row>
  </sheetData>
  <mergeCells count="3">
    <mergeCell ref="B7:B8"/>
    <mergeCell ref="D7:D8"/>
    <mergeCell ref="F7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6" sqref="A6"/>
    </sheetView>
  </sheetViews>
  <sheetFormatPr defaultRowHeight="14.4" x14ac:dyDescent="0.3"/>
  <cols>
    <col min="1" max="1" width="62" bestFit="1" customWidth="1"/>
    <col min="2" max="2" width="19.44140625" bestFit="1" customWidth="1"/>
    <col min="3" max="3" width="21.109375" customWidth="1"/>
    <col min="5" max="5" width="16.6640625" customWidth="1"/>
    <col min="7" max="7" width="18.33203125" customWidth="1"/>
  </cols>
  <sheetData>
    <row r="1" spans="1:9" ht="30.6" x14ac:dyDescent="0.3">
      <c r="A1" s="3" t="s">
        <v>6</v>
      </c>
    </row>
    <row r="2" spans="1:9" ht="30.6" x14ac:dyDescent="0.3">
      <c r="A2" s="3" t="s">
        <v>7</v>
      </c>
      <c r="C2" s="4" t="s">
        <v>22</v>
      </c>
    </row>
    <row r="3" spans="1:9" ht="30.6" x14ac:dyDescent="0.3">
      <c r="A3" s="3" t="s">
        <v>9</v>
      </c>
      <c r="C3" s="4" t="s">
        <v>23</v>
      </c>
    </row>
    <row r="4" spans="1:9" ht="30.6" x14ac:dyDescent="0.3">
      <c r="A4" s="3" t="s">
        <v>11</v>
      </c>
      <c r="C4" s="4" t="s">
        <v>24</v>
      </c>
    </row>
    <row r="5" spans="1:9" ht="30.6" x14ac:dyDescent="0.3">
      <c r="A5" s="3" t="s">
        <v>13</v>
      </c>
      <c r="C5" s="4" t="s">
        <v>25</v>
      </c>
    </row>
    <row r="6" spans="1:9" ht="93" customHeight="1" x14ac:dyDescent="0.3">
      <c r="A6" s="7" t="s">
        <v>26</v>
      </c>
      <c r="B6" s="6"/>
      <c r="C6" s="6"/>
      <c r="D6" s="6"/>
      <c r="E6" s="6"/>
      <c r="F6" s="5"/>
      <c r="G6" s="5"/>
      <c r="H6" s="5"/>
      <c r="I6" s="5"/>
    </row>
    <row r="7" spans="1:9" ht="30.6" x14ac:dyDescent="0.3">
      <c r="A7" s="1"/>
      <c r="B7" s="16" t="s">
        <v>1</v>
      </c>
      <c r="C7" s="1"/>
      <c r="D7" s="16" t="s">
        <v>3</v>
      </c>
      <c r="E7" s="2"/>
      <c r="F7" s="16" t="s">
        <v>3</v>
      </c>
      <c r="G7" s="2"/>
    </row>
    <row r="8" spans="1:9" ht="122.4" x14ac:dyDescent="0.3">
      <c r="A8" s="2" t="s">
        <v>0</v>
      </c>
      <c r="B8" s="16"/>
      <c r="C8" s="2" t="s">
        <v>2</v>
      </c>
      <c r="D8" s="16"/>
      <c r="E8" s="2" t="s">
        <v>4</v>
      </c>
      <c r="F8" s="16"/>
      <c r="G8" s="1" t="s">
        <v>5</v>
      </c>
    </row>
    <row r="10" spans="1:9" ht="30.6" x14ac:dyDescent="0.55000000000000004">
      <c r="A10" s="8" t="s">
        <v>16</v>
      </c>
    </row>
    <row r="11" spans="1:9" ht="30.6" x14ac:dyDescent="0.55000000000000004">
      <c r="A11" s="8" t="s">
        <v>17</v>
      </c>
    </row>
    <row r="12" spans="1:9" ht="30.6" x14ac:dyDescent="0.55000000000000004">
      <c r="A12" s="8" t="s">
        <v>18</v>
      </c>
    </row>
    <row r="13" spans="1:9" ht="30.6" x14ac:dyDescent="0.55000000000000004">
      <c r="A13" s="8" t="s">
        <v>19</v>
      </c>
    </row>
    <row r="14" spans="1:9" ht="30.6" x14ac:dyDescent="0.55000000000000004">
      <c r="A14" s="8" t="s">
        <v>20</v>
      </c>
    </row>
    <row r="15" spans="1:9" ht="30.6" x14ac:dyDescent="0.55000000000000004">
      <c r="A15" s="8" t="s">
        <v>21</v>
      </c>
    </row>
  </sheetData>
  <mergeCells count="3">
    <mergeCell ref="B7:B8"/>
    <mergeCell ref="D7:D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72" workbookViewId="0">
      <selection activeCell="G84" sqref="G84:G89"/>
    </sheetView>
  </sheetViews>
  <sheetFormatPr defaultColWidth="9.109375" defaultRowHeight="16.8" x14ac:dyDescent="0.3"/>
  <cols>
    <col min="1" max="1" width="36.33203125" style="9" bestFit="1" customWidth="1"/>
    <col min="2" max="2" width="25.5546875" style="9" bestFit="1" customWidth="1"/>
    <col min="3" max="3" width="34.109375" style="9" customWidth="1"/>
    <col min="4" max="4" width="26.5546875" style="9" bestFit="1" customWidth="1"/>
    <col min="5" max="5" width="26.5546875" style="9" customWidth="1"/>
    <col min="6" max="6" width="17" style="9" bestFit="1" customWidth="1"/>
    <col min="7" max="16384" width="9.109375" style="9"/>
  </cols>
  <sheetData>
    <row r="1" spans="1:5" x14ac:dyDescent="0.3">
      <c r="A1" s="9" t="s">
        <v>54</v>
      </c>
    </row>
    <row r="2" spans="1:5" x14ac:dyDescent="0.3">
      <c r="A2" s="9" t="s">
        <v>55</v>
      </c>
      <c r="C2" s="13">
        <f>6000*9100</f>
        <v>54600000</v>
      </c>
      <c r="D2" s="13"/>
      <c r="E2" s="13"/>
    </row>
    <row r="3" spans="1:5" x14ac:dyDescent="0.3">
      <c r="A3" s="9" t="s">
        <v>38</v>
      </c>
      <c r="C3" s="13">
        <f>C2*0.1</f>
        <v>5460000</v>
      </c>
      <c r="D3" s="13"/>
      <c r="E3" s="13"/>
    </row>
    <row r="4" spans="1:5" x14ac:dyDescent="0.3">
      <c r="B4" s="9" t="s">
        <v>37</v>
      </c>
      <c r="C4" s="13"/>
      <c r="D4" s="13">
        <f>C2+C3</f>
        <v>60060000</v>
      </c>
      <c r="E4" s="13"/>
    </row>
    <row r="5" spans="1:5" x14ac:dyDescent="0.3">
      <c r="C5" s="13"/>
      <c r="D5" s="13"/>
      <c r="E5" s="13"/>
    </row>
    <row r="6" spans="1:5" x14ac:dyDescent="0.3">
      <c r="A6" s="9" t="s">
        <v>56</v>
      </c>
      <c r="C6" s="13">
        <v>600000</v>
      </c>
      <c r="D6" s="13"/>
      <c r="E6" s="13"/>
    </row>
    <row r="7" spans="1:5" x14ac:dyDescent="0.3">
      <c r="A7" s="9" t="s">
        <v>38</v>
      </c>
      <c r="C7" s="13">
        <f>C6*10%</f>
        <v>60000</v>
      </c>
      <c r="D7" s="13"/>
      <c r="E7" s="13"/>
    </row>
    <row r="8" spans="1:5" x14ac:dyDescent="0.3">
      <c r="B8" s="9" t="s">
        <v>59</v>
      </c>
      <c r="C8" s="13"/>
      <c r="D8" s="13">
        <f>C6+C7</f>
        <v>660000</v>
      </c>
      <c r="E8" s="13"/>
    </row>
    <row r="9" spans="1:5" x14ac:dyDescent="0.3">
      <c r="C9" s="13"/>
      <c r="D9" s="13"/>
      <c r="E9" s="13"/>
    </row>
    <row r="10" spans="1:5" x14ac:dyDescent="0.3">
      <c r="A10" s="9" t="s">
        <v>60</v>
      </c>
      <c r="C10" s="13">
        <f>C2+C6</f>
        <v>55200000</v>
      </c>
      <c r="D10" s="13">
        <f>C10/6000</f>
        <v>9200</v>
      </c>
      <c r="E10" s="13"/>
    </row>
    <row r="11" spans="1:5" x14ac:dyDescent="0.3">
      <c r="C11" s="13"/>
      <c r="D11" s="13"/>
      <c r="E11" s="13"/>
    </row>
    <row r="12" spans="1:5" x14ac:dyDescent="0.3">
      <c r="A12" s="9" t="s">
        <v>57</v>
      </c>
      <c r="C12" s="13">
        <f>3000*3500</f>
        <v>10500000</v>
      </c>
      <c r="D12" s="13"/>
      <c r="E12" s="13"/>
    </row>
    <row r="13" spans="1:5" x14ac:dyDescent="0.3">
      <c r="A13" s="9" t="s">
        <v>38</v>
      </c>
      <c r="C13" s="13">
        <f>C12*10%</f>
        <v>1050000</v>
      </c>
      <c r="D13" s="13"/>
      <c r="E13" s="13"/>
    </row>
    <row r="14" spans="1:5" x14ac:dyDescent="0.3">
      <c r="B14" s="9" t="s">
        <v>37</v>
      </c>
      <c r="C14" s="13"/>
      <c r="D14" s="13">
        <f>C12+C13</f>
        <v>11550000</v>
      </c>
      <c r="E14" s="13"/>
    </row>
    <row r="15" spans="1:5" x14ac:dyDescent="0.3">
      <c r="C15" s="13"/>
      <c r="D15" s="13"/>
      <c r="E15" s="13"/>
    </row>
    <row r="16" spans="1:5" x14ac:dyDescent="0.3">
      <c r="A16" s="9" t="s">
        <v>58</v>
      </c>
      <c r="C16" s="13">
        <v>300000</v>
      </c>
      <c r="D16" s="13"/>
      <c r="E16" s="13"/>
    </row>
    <row r="17" spans="1:5" x14ac:dyDescent="0.3">
      <c r="A17" s="9" t="s">
        <v>38</v>
      </c>
      <c r="C17" s="13">
        <f>C16*10%</f>
        <v>30000</v>
      </c>
      <c r="D17" s="13"/>
      <c r="E17" s="13"/>
    </row>
    <row r="18" spans="1:5" x14ac:dyDescent="0.3">
      <c r="B18" s="9" t="s">
        <v>59</v>
      </c>
      <c r="C18" s="13"/>
      <c r="D18" s="13">
        <f>C16+C17</f>
        <v>330000</v>
      </c>
      <c r="E18" s="13"/>
    </row>
    <row r="19" spans="1:5" x14ac:dyDescent="0.3">
      <c r="C19" s="13"/>
      <c r="D19" s="13"/>
      <c r="E19" s="13"/>
    </row>
    <row r="20" spans="1:5" x14ac:dyDescent="0.3">
      <c r="A20" s="9" t="s">
        <v>61</v>
      </c>
      <c r="C20" s="13">
        <f>C12+C16</f>
        <v>10800000</v>
      </c>
      <c r="D20" s="13">
        <f>C20/3000</f>
        <v>3600</v>
      </c>
      <c r="E20" s="13"/>
    </row>
    <row r="21" spans="1:5" x14ac:dyDescent="0.3">
      <c r="A21" s="9" t="s">
        <v>63</v>
      </c>
      <c r="C21" s="13">
        <f>3000*10000+3000*9200</f>
        <v>57600000</v>
      </c>
      <c r="D21" s="13"/>
      <c r="E21" s="13"/>
    </row>
    <row r="22" spans="1:5" x14ac:dyDescent="0.3">
      <c r="B22" s="9" t="s">
        <v>62</v>
      </c>
      <c r="C22" s="13"/>
      <c r="D22" s="13">
        <f>C21</f>
        <v>57600000</v>
      </c>
      <c r="E22" s="13"/>
    </row>
    <row r="23" spans="1:5" x14ac:dyDescent="0.3">
      <c r="C23" s="13"/>
      <c r="D23" s="13"/>
      <c r="E23" s="13"/>
    </row>
    <row r="24" spans="1:5" x14ac:dyDescent="0.3">
      <c r="A24" s="9" t="s">
        <v>64</v>
      </c>
      <c r="C24" s="13">
        <f>2500*3000+2500*3600</f>
        <v>16500000</v>
      </c>
      <c r="D24" s="13"/>
      <c r="E24" s="13"/>
    </row>
    <row r="25" spans="1:5" x14ac:dyDescent="0.3">
      <c r="B25" s="9" t="s">
        <v>65</v>
      </c>
      <c r="C25" s="13"/>
      <c r="D25" s="13">
        <f>C24</f>
        <v>16500000</v>
      </c>
      <c r="E25" s="13"/>
    </row>
    <row r="26" spans="1:5" x14ac:dyDescent="0.3">
      <c r="C26" s="13"/>
      <c r="D26" s="13"/>
      <c r="E26" s="13"/>
    </row>
    <row r="27" spans="1:5" x14ac:dyDescent="0.3">
      <c r="A27" s="9" t="s">
        <v>66</v>
      </c>
      <c r="C27" s="13">
        <v>5000000</v>
      </c>
      <c r="D27" s="13"/>
      <c r="E27" s="13"/>
    </row>
    <row r="28" spans="1:5" x14ac:dyDescent="0.3">
      <c r="B28" s="9" t="s">
        <v>45</v>
      </c>
      <c r="D28" s="13">
        <f>C27</f>
        <v>5000000</v>
      </c>
      <c r="E28" s="13"/>
    </row>
    <row r="30" spans="1:5" x14ac:dyDescent="0.3">
      <c r="A30" s="9" t="s">
        <v>46</v>
      </c>
      <c r="C30" s="13">
        <f>C27/2</f>
        <v>2500000</v>
      </c>
      <c r="D30" s="13"/>
      <c r="E30" s="13"/>
    </row>
    <row r="31" spans="1:5" x14ac:dyDescent="0.3">
      <c r="B31" s="9" t="s">
        <v>47</v>
      </c>
      <c r="C31" s="13"/>
      <c r="D31" s="13">
        <f>C30</f>
        <v>2500000</v>
      </c>
      <c r="E31" s="13"/>
    </row>
    <row r="32" spans="1:5" x14ac:dyDescent="0.3">
      <c r="C32" s="13"/>
      <c r="D32" s="13"/>
      <c r="E32" s="13"/>
    </row>
    <row r="33" spans="1:5" x14ac:dyDescent="0.3">
      <c r="A33" s="9" t="s">
        <v>67</v>
      </c>
      <c r="C33" s="13">
        <v>3000000</v>
      </c>
      <c r="D33" s="13"/>
      <c r="E33" s="13"/>
    </row>
    <row r="34" spans="1:5" x14ac:dyDescent="0.3">
      <c r="A34" s="9" t="s">
        <v>42</v>
      </c>
      <c r="C34" s="13">
        <v>2000000</v>
      </c>
      <c r="D34" s="13"/>
      <c r="E34" s="13"/>
    </row>
    <row r="35" spans="1:5" x14ac:dyDescent="0.3">
      <c r="A35" s="9" t="s">
        <v>43</v>
      </c>
      <c r="C35" s="13">
        <v>1000000</v>
      </c>
      <c r="D35" s="13"/>
      <c r="E35" s="13"/>
    </row>
    <row r="36" spans="1:5" x14ac:dyDescent="0.3">
      <c r="B36" s="9" t="s">
        <v>37</v>
      </c>
      <c r="C36" s="13"/>
      <c r="D36" s="13">
        <f>SUM(C33:C35)</f>
        <v>6000000</v>
      </c>
      <c r="E36" s="13"/>
    </row>
    <row r="37" spans="1:5" x14ac:dyDescent="0.3">
      <c r="C37" s="13"/>
      <c r="D37" s="13"/>
      <c r="E37" s="13"/>
    </row>
    <row r="38" spans="1:5" x14ac:dyDescent="0.3">
      <c r="A38" s="9" t="s">
        <v>69</v>
      </c>
      <c r="C38" s="13">
        <v>28000000</v>
      </c>
      <c r="D38" s="13"/>
      <c r="E38" s="13"/>
    </row>
    <row r="39" spans="1:5" x14ac:dyDescent="0.3">
      <c r="A39" s="9" t="s">
        <v>68</v>
      </c>
      <c r="C39" s="13">
        <v>10000000</v>
      </c>
      <c r="D39" s="13"/>
      <c r="E39" s="13"/>
    </row>
    <row r="40" spans="1:5" x14ac:dyDescent="0.3">
      <c r="A40" s="9" t="s">
        <v>42</v>
      </c>
      <c r="C40" s="13">
        <v>10000000</v>
      </c>
      <c r="D40" s="13"/>
      <c r="E40" s="13"/>
    </row>
    <row r="41" spans="1:5" x14ac:dyDescent="0.3">
      <c r="A41" s="9" t="s">
        <v>43</v>
      </c>
      <c r="C41" s="13">
        <v>15000000</v>
      </c>
      <c r="D41" s="13"/>
      <c r="E41" s="13"/>
    </row>
    <row r="42" spans="1:5" x14ac:dyDescent="0.3">
      <c r="B42" s="9" t="s">
        <v>39</v>
      </c>
      <c r="C42" s="13"/>
      <c r="D42" s="13">
        <f>SUM(C38:C41)</f>
        <v>63000000</v>
      </c>
      <c r="E42" s="13"/>
    </row>
    <row r="43" spans="1:5" x14ac:dyDescent="0.3">
      <c r="C43" s="13"/>
      <c r="D43" s="13"/>
      <c r="E43" s="13"/>
    </row>
    <row r="44" spans="1:5" x14ac:dyDescent="0.3">
      <c r="A44" s="9" t="s">
        <v>70</v>
      </c>
      <c r="C44" s="13">
        <f>C38*23.5%</f>
        <v>6580000</v>
      </c>
      <c r="D44" s="13"/>
      <c r="E44" s="13"/>
    </row>
    <row r="45" spans="1:5" x14ac:dyDescent="0.3">
      <c r="A45" s="9" t="s">
        <v>68</v>
      </c>
      <c r="C45" s="13">
        <f t="shared" ref="C45:C47" si="0">C39*23.5%</f>
        <v>2350000</v>
      </c>
      <c r="D45" s="13"/>
      <c r="E45" s="13"/>
    </row>
    <row r="46" spans="1:5" x14ac:dyDescent="0.3">
      <c r="A46" s="9" t="s">
        <v>42</v>
      </c>
      <c r="C46" s="13">
        <f t="shared" si="0"/>
        <v>2350000</v>
      </c>
      <c r="D46" s="13"/>
      <c r="E46" s="13"/>
    </row>
    <row r="47" spans="1:5" x14ac:dyDescent="0.3">
      <c r="A47" s="9" t="s">
        <v>43</v>
      </c>
      <c r="C47" s="13">
        <f t="shared" si="0"/>
        <v>3525000</v>
      </c>
      <c r="D47" s="13"/>
      <c r="E47" s="13"/>
    </row>
    <row r="48" spans="1:5" x14ac:dyDescent="0.3">
      <c r="A48" s="9" t="s">
        <v>40</v>
      </c>
      <c r="C48" s="13">
        <f>D42*10.5%</f>
        <v>6615000</v>
      </c>
      <c r="D48" s="13"/>
      <c r="E48" s="13"/>
    </row>
    <row r="49" spans="1:6" x14ac:dyDescent="0.3">
      <c r="B49" s="9" t="s">
        <v>41</v>
      </c>
      <c r="C49" s="13"/>
      <c r="D49" s="13">
        <f>D42*34%</f>
        <v>21420000</v>
      </c>
      <c r="E49" s="13"/>
      <c r="F49" s="13"/>
    </row>
    <row r="50" spans="1:6" x14ac:dyDescent="0.3">
      <c r="C50" s="13"/>
      <c r="D50" s="13"/>
      <c r="E50" s="13"/>
    </row>
    <row r="51" spans="1:6" x14ac:dyDescent="0.3">
      <c r="A51" s="9" t="s">
        <v>71</v>
      </c>
      <c r="C51" s="13">
        <v>15000000</v>
      </c>
      <c r="D51" s="13"/>
      <c r="E51" s="13"/>
    </row>
    <row r="52" spans="1:6" x14ac:dyDescent="0.3">
      <c r="A52" s="9" t="s">
        <v>42</v>
      </c>
      <c r="C52" s="13">
        <v>5000000</v>
      </c>
      <c r="D52" s="13"/>
      <c r="E52" s="13"/>
    </row>
    <row r="53" spans="1:6" x14ac:dyDescent="0.3">
      <c r="A53" s="9" t="s">
        <v>43</v>
      </c>
      <c r="C53" s="13">
        <v>5000000</v>
      </c>
      <c r="D53" s="13"/>
      <c r="E53" s="13"/>
    </row>
    <row r="54" spans="1:6" x14ac:dyDescent="0.3">
      <c r="B54" s="9" t="s">
        <v>44</v>
      </c>
      <c r="C54" s="13"/>
      <c r="D54" s="13">
        <f>SUM(C51:C53)</f>
        <v>25000000</v>
      </c>
      <c r="E54" s="13"/>
    </row>
    <row r="55" spans="1:6" x14ac:dyDescent="0.3">
      <c r="C55" s="13"/>
      <c r="D55" s="13"/>
      <c r="E55" s="13"/>
    </row>
    <row r="56" spans="1:6" x14ac:dyDescent="0.3">
      <c r="A56" s="9" t="s">
        <v>72</v>
      </c>
      <c r="C56" s="13">
        <v>1000000</v>
      </c>
      <c r="D56" s="13"/>
      <c r="E56" s="13"/>
    </row>
    <row r="57" spans="1:6" x14ac:dyDescent="0.3">
      <c r="A57" s="9" t="s">
        <v>42</v>
      </c>
      <c r="C57" s="13">
        <v>1500000</v>
      </c>
      <c r="D57" s="13"/>
      <c r="E57" s="13"/>
    </row>
    <row r="58" spans="1:6" x14ac:dyDescent="0.3">
      <c r="A58" s="9" t="s">
        <v>43</v>
      </c>
      <c r="C58" s="13">
        <v>500000</v>
      </c>
      <c r="D58" s="13"/>
      <c r="E58" s="13"/>
    </row>
    <row r="59" spans="1:6" x14ac:dyDescent="0.3">
      <c r="B59" s="9" t="s">
        <v>59</v>
      </c>
      <c r="C59" s="13"/>
      <c r="D59" s="13">
        <f>SUM(C56:C58)</f>
        <v>3000000</v>
      </c>
      <c r="E59" s="13"/>
    </row>
    <row r="60" spans="1:6" x14ac:dyDescent="0.3">
      <c r="C60" s="13"/>
      <c r="D60" s="13"/>
      <c r="E60" s="13"/>
    </row>
    <row r="61" spans="1:6" x14ac:dyDescent="0.3">
      <c r="A61" s="9" t="s">
        <v>73</v>
      </c>
      <c r="C61" s="13">
        <v>150000</v>
      </c>
      <c r="D61" s="13"/>
      <c r="E61" s="13"/>
    </row>
    <row r="62" spans="1:6" x14ac:dyDescent="0.3">
      <c r="B62" s="9" t="s">
        <v>74</v>
      </c>
      <c r="C62" s="13"/>
      <c r="D62" s="13">
        <f>C61</f>
        <v>150000</v>
      </c>
      <c r="E62" s="13"/>
    </row>
    <row r="63" spans="1:6" x14ac:dyDescent="0.3">
      <c r="A63" s="9" t="s">
        <v>48</v>
      </c>
      <c r="C63" s="13"/>
      <c r="D63" s="13"/>
      <c r="E63" s="13"/>
    </row>
    <row r="64" spans="1:6" x14ac:dyDescent="0.3">
      <c r="A64" s="9">
        <v>621</v>
      </c>
      <c r="B64" s="13">
        <f>C21+C24</f>
        <v>74100000</v>
      </c>
      <c r="C64" s="13">
        <f>C21+C24</f>
        <v>74100000</v>
      </c>
      <c r="D64" s="13"/>
      <c r="E64" s="13"/>
    </row>
    <row r="65" spans="1:5" x14ac:dyDescent="0.3">
      <c r="A65" s="9">
        <v>622</v>
      </c>
      <c r="B65" s="13">
        <f>C38+C44</f>
        <v>34580000</v>
      </c>
      <c r="C65" s="13">
        <f>C38+C44</f>
        <v>34580000</v>
      </c>
      <c r="D65" s="13"/>
      <c r="E65" s="13"/>
    </row>
    <row r="66" spans="1:5" x14ac:dyDescent="0.3">
      <c r="A66" s="9">
        <v>627</v>
      </c>
      <c r="B66" s="13">
        <f>C30+C33+C39+C45+C51+C56</f>
        <v>33850000</v>
      </c>
      <c r="C66" s="13">
        <f>C30+C33+C39+C45+C51+C56</f>
        <v>33850000</v>
      </c>
      <c r="D66" s="13"/>
      <c r="E66" s="13"/>
    </row>
    <row r="67" spans="1:5" x14ac:dyDescent="0.3">
      <c r="A67" s="9" t="s">
        <v>75</v>
      </c>
      <c r="B67" s="13"/>
      <c r="C67" s="13"/>
      <c r="D67" s="13"/>
      <c r="E67" s="13"/>
    </row>
    <row r="68" spans="1:5" x14ac:dyDescent="0.3">
      <c r="A68" s="9" t="s">
        <v>76</v>
      </c>
      <c r="B68" s="13"/>
      <c r="C68" s="13">
        <f>(1900000+57600000)*50/(1000+50)</f>
        <v>2833333.3333333335</v>
      </c>
      <c r="D68" s="13"/>
      <c r="E68" s="13"/>
    </row>
    <row r="69" spans="1:5" x14ac:dyDescent="0.3">
      <c r="A69" s="9" t="s">
        <v>28</v>
      </c>
      <c r="B69" s="13"/>
      <c r="C69" s="13">
        <f>(1100000+16500000)*30/1030</f>
        <v>512621.359223301</v>
      </c>
      <c r="D69" s="13"/>
      <c r="E69" s="13"/>
    </row>
    <row r="70" spans="1:5" x14ac:dyDescent="0.3">
      <c r="A70" s="9" t="s">
        <v>77</v>
      </c>
      <c r="B70" s="13"/>
      <c r="C70" s="13">
        <f>(1000000+34580000)*30/1030</f>
        <v>1036310.6796116505</v>
      </c>
      <c r="D70" s="13"/>
      <c r="E70" s="13"/>
    </row>
    <row r="71" spans="1:5" x14ac:dyDescent="0.3">
      <c r="A71" s="9" t="s">
        <v>27</v>
      </c>
      <c r="B71" s="13"/>
      <c r="C71" s="13">
        <f>(500000+33850000)*30/1030</f>
        <v>1000485.4368932039</v>
      </c>
      <c r="D71" s="13"/>
      <c r="E71" s="13"/>
    </row>
    <row r="72" spans="1:5" x14ac:dyDescent="0.3">
      <c r="A72" s="9" t="s">
        <v>78</v>
      </c>
      <c r="B72" s="13"/>
      <c r="C72" s="13">
        <f>SUM(C68:C71)</f>
        <v>5382750.8090614891</v>
      </c>
      <c r="D72" s="13"/>
      <c r="E72" s="13"/>
    </row>
    <row r="73" spans="1:5" x14ac:dyDescent="0.3">
      <c r="A73" s="9" t="s">
        <v>51</v>
      </c>
      <c r="C73" s="13"/>
      <c r="D73" s="13"/>
      <c r="E73" s="13"/>
    </row>
    <row r="74" spans="1:5" x14ac:dyDescent="0.3">
      <c r="A74" s="9" t="s">
        <v>79</v>
      </c>
      <c r="B74" s="13"/>
      <c r="C74" s="13">
        <f>SUM(D75:D77)</f>
        <v>142530000</v>
      </c>
      <c r="D74" s="13"/>
      <c r="E74" s="13"/>
    </row>
    <row r="75" spans="1:5" x14ac:dyDescent="0.3">
      <c r="B75" s="9" t="s">
        <v>80</v>
      </c>
      <c r="C75" s="13"/>
      <c r="D75" s="13">
        <f>B64</f>
        <v>74100000</v>
      </c>
      <c r="E75" s="13"/>
    </row>
    <row r="76" spans="1:5" x14ac:dyDescent="0.3">
      <c r="B76" s="9" t="s">
        <v>81</v>
      </c>
      <c r="C76" s="13"/>
      <c r="D76" s="13">
        <f>B65</f>
        <v>34580000</v>
      </c>
      <c r="E76" s="13"/>
    </row>
    <row r="77" spans="1:5" x14ac:dyDescent="0.3">
      <c r="B77" s="9" t="s">
        <v>82</v>
      </c>
      <c r="C77" s="13"/>
      <c r="D77" s="13">
        <f>B66</f>
        <v>33850000</v>
      </c>
      <c r="E77" s="13"/>
    </row>
    <row r="78" spans="1:5" x14ac:dyDescent="0.3">
      <c r="C78" s="13"/>
      <c r="D78" s="13"/>
      <c r="E78" s="13"/>
    </row>
    <row r="79" spans="1:5" x14ac:dyDescent="0.3">
      <c r="A79" s="9" t="s">
        <v>52</v>
      </c>
      <c r="B79" s="13">
        <f>4500000+C74-C72-C61</f>
        <v>141497249.1909385</v>
      </c>
      <c r="C79" s="13"/>
      <c r="D79" s="13"/>
      <c r="E79" s="13"/>
    </row>
    <row r="80" spans="1:5" x14ac:dyDescent="0.3">
      <c r="A80" s="9" t="s">
        <v>53</v>
      </c>
      <c r="B80" s="13">
        <f>B79/1000</f>
        <v>141497.24919093851</v>
      </c>
      <c r="C80" s="13"/>
      <c r="D80" s="13"/>
      <c r="E80" s="13"/>
    </row>
    <row r="81" spans="1:7" ht="22.8" x14ac:dyDescent="0.4">
      <c r="C81" s="12" t="s">
        <v>83</v>
      </c>
    </row>
    <row r="82" spans="1:7" x14ac:dyDescent="0.3">
      <c r="C82" s="11"/>
    </row>
    <row r="83" spans="1:7" x14ac:dyDescent="0.3">
      <c r="A83" s="10" t="s">
        <v>29</v>
      </c>
      <c r="B83" s="10" t="s">
        <v>30</v>
      </c>
      <c r="C83" s="10" t="s">
        <v>31</v>
      </c>
      <c r="D83" s="10" t="s">
        <v>32</v>
      </c>
      <c r="E83" s="10" t="s">
        <v>86</v>
      </c>
      <c r="F83" s="10" t="s">
        <v>33</v>
      </c>
      <c r="G83" s="10" t="s">
        <v>34</v>
      </c>
    </row>
    <row r="84" spans="1:7" x14ac:dyDescent="0.3">
      <c r="A84" s="10" t="s">
        <v>35</v>
      </c>
      <c r="B84" s="14">
        <f>B85+B86</f>
        <v>3000000</v>
      </c>
      <c r="C84" s="14">
        <f>C85+C86</f>
        <v>74100000</v>
      </c>
      <c r="D84" s="14">
        <f>D85+D86</f>
        <v>3345954.6925566345</v>
      </c>
      <c r="E84" s="14">
        <f>E85</f>
        <v>150000</v>
      </c>
      <c r="F84" s="14">
        <f>B84+C84-D84-E84</f>
        <v>73604045.307443365</v>
      </c>
      <c r="G84" s="14">
        <f>F84/1000</f>
        <v>73604.045307443361</v>
      </c>
    </row>
    <row r="85" spans="1:7" x14ac:dyDescent="0.3">
      <c r="A85" s="15" t="s">
        <v>84</v>
      </c>
      <c r="B85" s="14">
        <v>1900000</v>
      </c>
      <c r="C85" s="14">
        <f>C21</f>
        <v>57600000</v>
      </c>
      <c r="D85" s="14">
        <f>(1900000+57600000)*50/(1000+50)</f>
        <v>2833333.3333333335</v>
      </c>
      <c r="E85" s="14">
        <v>150000</v>
      </c>
      <c r="F85" s="14">
        <f t="shared" ref="F85:F89" si="1">B85+C85-D85-E85</f>
        <v>56516666.666666664</v>
      </c>
      <c r="G85" s="14">
        <f t="shared" ref="G85:G89" si="2">F85/1000</f>
        <v>56516.666666666664</v>
      </c>
    </row>
    <row r="86" spans="1:7" x14ac:dyDescent="0.3">
      <c r="A86" s="15" t="s">
        <v>85</v>
      </c>
      <c r="B86" s="14">
        <v>1100000</v>
      </c>
      <c r="C86" s="14">
        <f>C24</f>
        <v>16500000</v>
      </c>
      <c r="D86" s="14">
        <f>(1100000+16500000)*30/1030</f>
        <v>512621.359223301</v>
      </c>
      <c r="E86" s="14"/>
      <c r="F86" s="14">
        <f t="shared" si="1"/>
        <v>17087378.640776698</v>
      </c>
      <c r="G86" s="14">
        <f t="shared" si="2"/>
        <v>17087.378640776697</v>
      </c>
    </row>
    <row r="87" spans="1:7" x14ac:dyDescent="0.3">
      <c r="A87" s="10" t="s">
        <v>49</v>
      </c>
      <c r="B87" s="14">
        <v>1000000</v>
      </c>
      <c r="C87" s="14">
        <f>D76</f>
        <v>34580000</v>
      </c>
      <c r="D87" s="14">
        <f>(1000000+34580000)*30/1030</f>
        <v>1036310.6796116505</v>
      </c>
      <c r="E87" s="14"/>
      <c r="F87" s="14">
        <f t="shared" si="1"/>
        <v>34543689.320388347</v>
      </c>
      <c r="G87" s="14">
        <f t="shared" si="2"/>
        <v>34543.689320388345</v>
      </c>
    </row>
    <row r="88" spans="1:7" x14ac:dyDescent="0.3">
      <c r="A88" s="10" t="s">
        <v>50</v>
      </c>
      <c r="B88" s="14">
        <v>500000</v>
      </c>
      <c r="C88" s="14">
        <f>D77</f>
        <v>33850000</v>
      </c>
      <c r="D88" s="14">
        <f>(500000+33850000)*30/1030</f>
        <v>1000485.4368932039</v>
      </c>
      <c r="E88" s="14"/>
      <c r="F88" s="14">
        <f t="shared" si="1"/>
        <v>33349514.563106798</v>
      </c>
      <c r="G88" s="14">
        <f t="shared" si="2"/>
        <v>33349.514563106801</v>
      </c>
    </row>
    <row r="89" spans="1:7" x14ac:dyDescent="0.3">
      <c r="A89" s="10" t="s">
        <v>36</v>
      </c>
      <c r="B89" s="14">
        <f>B84+B87+B88</f>
        <v>4500000</v>
      </c>
      <c r="C89" s="14">
        <f>C84+C87+C88</f>
        <v>142530000</v>
      </c>
      <c r="D89" s="14">
        <f>D84+D87+D88</f>
        <v>5382750.8090614891</v>
      </c>
      <c r="E89" s="14"/>
      <c r="F89" s="14">
        <f t="shared" si="1"/>
        <v>141647249.1909385</v>
      </c>
      <c r="G89" s="14">
        <f t="shared" si="2"/>
        <v>141647.24919093851</v>
      </c>
    </row>
    <row r="90" spans="1:7" x14ac:dyDescent="0.3">
      <c r="C90" s="13"/>
      <c r="D90" s="13"/>
      <c r="E9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vd1</vt:lpstr>
      <vt:lpstr>vd2</vt:lpstr>
      <vt:lpstr>ontap2</vt:lpstr>
    </vt:vector>
  </TitlesOfParts>
  <Company>UIT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Orbitvn</dc:creator>
  <cp:lastModifiedBy>Asus</cp:lastModifiedBy>
  <dcterms:created xsi:type="dcterms:W3CDTF">2020-04-07T09:30:21Z</dcterms:created>
  <dcterms:modified xsi:type="dcterms:W3CDTF">2020-04-10T10:37:16Z</dcterms:modified>
</cp:coreProperties>
</file>